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JEISSON\Desktop\ALCALDIA DORADA\ANCIANATO\"/>
    </mc:Choice>
  </mc:AlternateContent>
  <xr:revisionPtr revIDLastSave="0" documentId="13_ncr:1_{323B173F-70F1-4424-8064-34271E2BBC8C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PRESUPUESTO" sheetId="3" r:id="rId1"/>
    <sheet name="MEMORIA CANTIDADES" sheetId="5" r:id="rId2"/>
    <sheet name="APUS" sheetId="4" r:id="rId3"/>
    <sheet name="FLUJO DE INVERSION " sheetId="6" r:id="rId4"/>
    <sheet name="CRONOGRAMA" sheetId="12" r:id="rId5"/>
    <sheet name="F.M " sheetId="8" r:id="rId6"/>
    <sheet name="DESGLOSE AIU" sheetId="9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\a" localSheetId="4">[1]Insumos!#REF!</definedName>
    <definedName name="\a" localSheetId="3">[1]Insumos!#REF!</definedName>
    <definedName name="\a">[1]Insumos!#REF!</definedName>
    <definedName name="\b">[2]INSUMOS!#REF!</definedName>
    <definedName name="\i">[2]INSUMOS!#REF!</definedName>
    <definedName name="\m">[2]INSUMOS!#REF!</definedName>
    <definedName name="\r">[2]INSUMOS!#REF!</definedName>
    <definedName name="\t">[2]INSUMOS!#REF!</definedName>
    <definedName name="\x">[2]INSUMOS!#REF!</definedName>
    <definedName name="_________________________________apu1">[2]INSUMOS!#REF!</definedName>
    <definedName name="________________________________apu1">[2]INSUMOS!#REF!</definedName>
    <definedName name="_______________________________apu1">[2]INSUMOS!#REF!</definedName>
    <definedName name="______________________________apu1">[2]INSUMOS!#REF!</definedName>
    <definedName name="____________________________apu1">[2]INSUMOS!#REF!</definedName>
    <definedName name="___________________________apu1">[2]INSUMOS!#REF!</definedName>
    <definedName name="__________________________apu1">[2]INSUMOS!#REF!</definedName>
    <definedName name="_________________________apu1">[2]INSUMOS!#REF!</definedName>
    <definedName name="________________________apu1">[2]INSUMOS!#REF!</definedName>
    <definedName name="_______________________apu1">[2]INSUMOS!#REF!</definedName>
    <definedName name="_____________________apu1">[2]INSUMOS!#REF!</definedName>
    <definedName name="____________________apu1">[2]INSUMOS!#REF!</definedName>
    <definedName name="___________________apu1">[2]INSUMOS!#REF!</definedName>
    <definedName name="__________________apu1">[2]INSUMOS!#REF!</definedName>
    <definedName name="_________________apu1">[2]INSUMOS!#REF!</definedName>
    <definedName name="________________apu1">[2]INSUMOS!#REF!</definedName>
    <definedName name="_______________apu1">[2]INSUMOS!#REF!</definedName>
    <definedName name="______________apu1">[2]INSUMOS!#REF!</definedName>
    <definedName name="_____________apu1">[2]INSUMOS!#REF!</definedName>
    <definedName name="____________apu1">[2]INSUMOS!#REF!</definedName>
    <definedName name="___________apu1">[2]INSUMOS!#REF!</definedName>
    <definedName name="__________apu1">[2]INSUMOS!#REF!</definedName>
    <definedName name="_________apu1">[2]INSUMOS!#REF!</definedName>
    <definedName name="________apu1">[2]INSUMOS!#REF!</definedName>
    <definedName name="_______apu1">[2]INSUMOS!#REF!</definedName>
    <definedName name="______apu1">[2]INSUMOS!#REF!</definedName>
    <definedName name="_____apu1">[2]INSUMOS!#REF!</definedName>
    <definedName name="____apu1">[2]INSUMOS!#REF!</definedName>
    <definedName name="___apu1">[2]INSUMOS!#REF!</definedName>
    <definedName name="__apu1">[2]INSUMOS!#REF!</definedName>
    <definedName name="_A16400" localSheetId="4">#REF!</definedName>
    <definedName name="_A16400" localSheetId="3">#REF!</definedName>
    <definedName name="_A16400" localSheetId="0">#REF!</definedName>
    <definedName name="_A16400">#REF!</definedName>
    <definedName name="_apu1">[2]INSUMOS!#REF!</definedName>
    <definedName name="_Key1" localSheetId="4" hidden="1">[2]INSUMOS!#REF!</definedName>
    <definedName name="_Key1" localSheetId="3" hidden="1">[2]INSUMOS!#REF!</definedName>
    <definedName name="_Key1" localSheetId="0" hidden="1">[2]INSUMOS!#REF!</definedName>
    <definedName name="_Key1" hidden="1">[2]INSUMOS!#REF!</definedName>
    <definedName name="_Order1" hidden="1">255</definedName>
    <definedName name="_Sort" hidden="1">[2]INSUMOS!#REF!</definedName>
    <definedName name="A" localSheetId="6">#REF!</definedName>
    <definedName name="a">[1]Insumos!#REF!</definedName>
    <definedName name="ACERO" localSheetId="6">#REF!</definedName>
    <definedName name="ACERO">#REF!</definedName>
    <definedName name="ACTIVOS" localSheetId="6">#REF!</definedName>
    <definedName name="ACTIVOS">#REF!</definedName>
    <definedName name="adfasdfsa" localSheetId="6">[1]Insumos!#REF!</definedName>
    <definedName name="adfasdfsa">[1]Insumos!#REF!</definedName>
    <definedName name="adfasfadfa">[1]Insumos!#REF!</definedName>
    <definedName name="ADMON" localSheetId="6">#REF!</definedName>
    <definedName name="ADMON">#REF!</definedName>
    <definedName name="adsfadsfasdfafdasfdasfd" localSheetId="4">[2]INSUMOS!#REF!</definedName>
    <definedName name="adsfadsfasdfafdasfdasfd" localSheetId="3">[2]INSUMOS!#REF!</definedName>
    <definedName name="adsfadsfasdfafdasfdasfd" localSheetId="0">[2]INSUMOS!#REF!</definedName>
    <definedName name="adsfadsfasdfafdasfdasfd">[2]INSUMOS!#REF!</definedName>
    <definedName name="adsfadsfasfasdfasfdasdfadsfdsafdsa">[1]Insumos!#REF!</definedName>
    <definedName name="afdaffaf">[1]Insumos!#REF!</definedName>
    <definedName name="AGUA">[3]INSUMOS!$D$4</definedName>
    <definedName name="ALAMB">[3]INSUMOS!$D$169</definedName>
    <definedName name="ALAMBRE" localSheetId="6">#REF!</definedName>
    <definedName name="ALAMBRE">#REF!</definedName>
    <definedName name="ANDENESV" localSheetId="6">#REF!</definedName>
    <definedName name="ANDENESV">#REF!</definedName>
    <definedName name="ANTISB">[3]INSUMOS!$D$181</definedName>
    <definedName name="APU" localSheetId="6">[4]APU!$A:$H</definedName>
    <definedName name="apu">[1]Insumos!#REF!</definedName>
    <definedName name="APUS" localSheetId="6">[5]APU!$A:$H</definedName>
    <definedName name="APUS">[6]APU!$A:$H</definedName>
    <definedName name="_xlnm.Extract" localSheetId="4">#REF!</definedName>
    <definedName name="_xlnm.Extract" localSheetId="3">#REF!</definedName>
    <definedName name="_xlnm.Extract" localSheetId="0">#REF!</definedName>
    <definedName name="_xlnm.Extract">#REF!</definedName>
    <definedName name="_xlnm.Print_Area" localSheetId="2">APUS!$A$1:$H$2926</definedName>
    <definedName name="_xlnm.Print_Area" localSheetId="4">CRONOGRAMA!$A$1:$N$90</definedName>
    <definedName name="_xlnm.Print_Area" localSheetId="6">'DESGLOSE AIU'!$A$1:$F$63</definedName>
    <definedName name="_xlnm.Print_Area" localSheetId="5">'F.M '!$A$1:$H$43</definedName>
    <definedName name="_xlnm.Print_Area" localSheetId="3">'FLUJO DE INVERSION '!$A$1:$N$91</definedName>
    <definedName name="_xlnm.Print_Area" localSheetId="1">'MEMORIA CANTIDADES'!$A$1:$I$860</definedName>
    <definedName name="_xlnm.Print_Area" localSheetId="0">PRESUPUESTO!$A$1:$G$100</definedName>
    <definedName name="ARENA" localSheetId="6">#REF!</definedName>
    <definedName name="ARENA">#REF!</definedName>
    <definedName name="Arial" localSheetId="6">#REF!</definedName>
    <definedName name="Arial">#REF!</definedName>
    <definedName name="asdfadsfadsfafda" localSheetId="6">[1]Insumos!#REF!</definedName>
    <definedName name="asdfadsfadsfafda">[1]Insumos!#REF!</definedName>
    <definedName name="asdfasdf">[2]INSUMOS!#REF!</definedName>
    <definedName name="AYU" localSheetId="6">#REF!</definedName>
    <definedName name="AYU">#REF!</definedName>
    <definedName name="b" localSheetId="4">[1]Insumos!#REF!</definedName>
    <definedName name="b" localSheetId="3">[1]Insumos!#REF!</definedName>
    <definedName name="b" localSheetId="0">[1]Insumos!#REF!</definedName>
    <definedName name="b">[1]Insumos!#REF!</definedName>
    <definedName name="BASE" localSheetId="6">#REF!</definedName>
    <definedName name="BASE">#REF!</definedName>
    <definedName name="Base_datos_IM" localSheetId="4">[1]Insumos!#REF!</definedName>
    <definedName name="Base_datos_IM" localSheetId="3">[1]Insumos!#REF!</definedName>
    <definedName name="Base_datos_IM" localSheetId="0">[1]Insumos!#REF!</definedName>
    <definedName name="Base_datos_IM">[1]Insumos!#REF!</definedName>
    <definedName name="_xlnm.Database" localSheetId="6">#REF!</definedName>
    <definedName name="_xlnm.Database">[1]Insumos!#REF!</definedName>
    <definedName name="BASEGRAV" localSheetId="6">#REF!</definedName>
    <definedName name="BASEGRAV">#REF!</definedName>
    <definedName name="BD_COD" localSheetId="6">#REF!</definedName>
    <definedName name="BD_COD">#REF!</definedName>
    <definedName name="BD_DIL" localSheetId="6">#REF!</definedName>
    <definedName name="BD_DIL">#REF!</definedName>
    <definedName name="BORDE1">#N/A</definedName>
    <definedName name="CANGURO" localSheetId="6">#REF!</definedName>
    <definedName name="CANGURO">#REF!</definedName>
    <definedName name="Capitulo">[7]Capitulos!$B$1:$B$65536</definedName>
    <definedName name="CEM">[3]INSUMOS!$D$275</definedName>
    <definedName name="CEMENTO" localSheetId="6">#REF!</definedName>
    <definedName name="CEMENTO">#REF!</definedName>
    <definedName name="cesped" localSheetId="4">[8]Mater!#REF!</definedName>
    <definedName name="cesped" localSheetId="3">[8]Mater!#REF!</definedName>
    <definedName name="cesped" localSheetId="0">[8]Mater!#REF!</definedName>
    <definedName name="cesped">[8]Mater!#REF!</definedName>
    <definedName name="COMPRE" localSheetId="6">#REF!</definedName>
    <definedName name="COMPRE">#REF!</definedName>
    <definedName name="CONCRETO25" localSheetId="6">#REF!</definedName>
    <definedName name="CONCRETO25">#REF!</definedName>
    <definedName name="Concreto2500v" localSheetId="6">#REF!</definedName>
    <definedName name="Concreto2500v">#REF!</definedName>
    <definedName name="CONCRETO3" localSheetId="6">#REF!</definedName>
    <definedName name="CONCRETO3">#REF!</definedName>
    <definedName name="concreto5" localSheetId="6">#REF!</definedName>
    <definedName name="concreto5">#REF!</definedName>
    <definedName name="Concreto5500v" localSheetId="6">#REF!</definedName>
    <definedName name="Concreto5500v">#REF!</definedName>
    <definedName name="concretomuro" localSheetId="6">#REF!</definedName>
    <definedName name="concretomuro">#REF!</definedName>
    <definedName name="_xlnm.Criteria" localSheetId="4">[2]INSUMOS!#REF!</definedName>
    <definedName name="_xlnm.Criteria" localSheetId="6">#REF!</definedName>
    <definedName name="_xlnm.Criteria" localSheetId="3">[2]INSUMOS!#REF!</definedName>
    <definedName name="_xlnm.Criteria" localSheetId="0">[2]INSUMOS!#REF!</definedName>
    <definedName name="_xlnm.Criteria">[2]INSUMOS!#REF!</definedName>
    <definedName name="Criterios_IM" localSheetId="6">[2]INSUMOS!#REF!</definedName>
    <definedName name="Criterios_IM">[2]INSUMOS!#REF!</definedName>
    <definedName name="Cronograma">[2]INSUMOS!#REF!</definedName>
    <definedName name="CUAD" localSheetId="6">#REF!</definedName>
    <definedName name="CUAD">#REF!</definedName>
    <definedName name="Cuadrilla">'[7]Mano Obra'!$B$1:$B$65536</definedName>
    <definedName name="DEMOLICIONANDEN" localSheetId="6">#REF!</definedName>
    <definedName name="DEMOLICIONANDEN">#REF!</definedName>
    <definedName name="demolicionladrillo" localSheetId="6">#REF!</definedName>
    <definedName name="demolicionladrillo">#REF!</definedName>
    <definedName name="DEMOLICIONMURO" localSheetId="6">#REF!</definedName>
    <definedName name="DEMOLICIONMURO">#REF!</definedName>
    <definedName name="demolicionpav" localSheetId="6">#REF!</definedName>
    <definedName name="demolicionpav">#REF!</definedName>
    <definedName name="DesgAIU">[9]APU!$A:$H</definedName>
    <definedName name="dfasfdasdfadsfasdfas" localSheetId="4">[1]Insumos!#REF!</definedName>
    <definedName name="dfasfdasdfadsfasdfas" localSheetId="3">[1]Insumos!#REF!</definedName>
    <definedName name="dfasfdasdfadsfasdfas" localSheetId="0">[1]Insumos!#REF!</definedName>
    <definedName name="dfasfdasdfadsfasdfas">[1]Insumos!#REF!</definedName>
    <definedName name="DIA" localSheetId="6">#REF!</definedName>
    <definedName name="DIA">#REF!</definedName>
    <definedName name="espejo" localSheetId="4">[1]Insumos!#REF!</definedName>
    <definedName name="espejo" localSheetId="3">[1]Insumos!#REF!</definedName>
    <definedName name="espejo" localSheetId="0">[1]Insumos!#REF!</definedName>
    <definedName name="espejo">[1]Insumos!#REF!</definedName>
    <definedName name="ESTACA" localSheetId="6">#REF!</definedName>
    <definedName name="ESTACA">#REF!</definedName>
    <definedName name="excavaconglomerado" localSheetId="6">#REF!</definedName>
    <definedName name="excavaconglomerado">#REF!</definedName>
    <definedName name="EXCAVAMANOV" localSheetId="6">#REF!</definedName>
    <definedName name="EXCAVAMANOV">#REF!</definedName>
    <definedName name="EXCAVAMAQUINAV" localSheetId="6">#REF!</definedName>
    <definedName name="EXCAVAMAQUINAV">#REF!</definedName>
    <definedName name="EXCAVATIERRA" localSheetId="6">#REF!</definedName>
    <definedName name="EXCAVATIERRA">#REF!</definedName>
    <definedName name="EXPL" localSheetId="6">#REF!</definedName>
    <definedName name="EXPL">#REF!</definedName>
    <definedName name="filtrov" localSheetId="6">#REF!</definedName>
    <definedName name="filtrov">#REF!</definedName>
    <definedName name="FORMA" localSheetId="6">#REF!</definedName>
    <definedName name="FORMA">#REF!</definedName>
    <definedName name="GALON" localSheetId="6">#REF!</definedName>
    <definedName name="GALON">#REF!</definedName>
    <definedName name="GEO" localSheetId="6">#REF!</definedName>
    <definedName name="GEO">#REF!</definedName>
    <definedName name="GRAVILLA" localSheetId="6">#REF!</definedName>
    <definedName name="GRAVILLA">#REF!</definedName>
    <definedName name="h" localSheetId="6">#REF!</definedName>
    <definedName name="h">#REF!</definedName>
    <definedName name="hierro60v" localSheetId="6">#REF!</definedName>
    <definedName name="hierro60v">#REF!</definedName>
    <definedName name="HMEN" localSheetId="6">#REF!</definedName>
    <definedName name="HMEN">#REF!</definedName>
    <definedName name="i">#REF!</definedName>
    <definedName name="IMP" localSheetId="6">#REF!</definedName>
    <definedName name="IMP">#REF!</definedName>
    <definedName name="inf" localSheetId="6">#REF!</definedName>
    <definedName name="inf">#REF!</definedName>
    <definedName name="Insumos" localSheetId="6">#REF!</definedName>
    <definedName name="INSUMOS">#N/A</definedName>
    <definedName name="Lavamanos" localSheetId="4">[1]Insumos!#REF!</definedName>
    <definedName name="Lavamanos" localSheetId="6">[1]Insumos!#REF!</definedName>
    <definedName name="Lavamanos" localSheetId="3">[1]Insumos!#REF!</definedName>
    <definedName name="Lavamanos" localSheetId="0">[1]Insumos!#REF!</definedName>
    <definedName name="Lavamanos">[1]Insumos!#REF!</definedName>
    <definedName name="leo" localSheetId="6">#REF!</definedName>
    <definedName name="leo">#REF!</definedName>
    <definedName name="Lista" localSheetId="6">#REF!</definedName>
    <definedName name="Lista">#REF!</definedName>
    <definedName name="LLANTAS" localSheetId="6">#REF!</definedName>
    <definedName name="LLANTAS">#REF!</definedName>
    <definedName name="llenov" localSheetId="6">#REF!</definedName>
    <definedName name="llenov">#REF!</definedName>
    <definedName name="LOCALIZACIONV" localSheetId="6">#REF!</definedName>
    <definedName name="LOCALIZACIONV">#REF!</definedName>
    <definedName name="localizamuro" localSheetId="6">#REF!</definedName>
    <definedName name="localizamuro">#REF!</definedName>
    <definedName name="MALLA" localSheetId="6">#REF!</definedName>
    <definedName name="MALLA">#REF!</definedName>
    <definedName name="Maquinaria">'[7]Maqui Equip'!$B$1:$B$65536</definedName>
    <definedName name="Materiales" localSheetId="6">#REF!</definedName>
    <definedName name="Materiales">#REF!</definedName>
    <definedName name="MDC" localSheetId="6">#REF!</definedName>
    <definedName name="MDC">#REF!</definedName>
    <definedName name="MEZCLADORA" localSheetId="6">#REF!</definedName>
    <definedName name="MEZCLADORA">#REF!</definedName>
    <definedName name="MOTO" localSheetId="6">#REF!</definedName>
    <definedName name="MOTO">#REF!</definedName>
    <definedName name="motosierra" localSheetId="6">[8]Mater!#REF!</definedName>
    <definedName name="motosierra">[8]Mater!#REF!</definedName>
    <definedName name="OFI" localSheetId="6">#REF!</definedName>
    <definedName name="OFI">#REF!</definedName>
    <definedName name="OTROS" localSheetId="6">#REF!</definedName>
    <definedName name="OTROS">#REF!</definedName>
    <definedName name="PARTE1" localSheetId="6">#REF!</definedName>
    <definedName name="PARTE1">#REF!</definedName>
    <definedName name="pavimento" localSheetId="6">#REF!</definedName>
    <definedName name="pavimento">#REF!</definedName>
    <definedName name="PREST" localSheetId="6">#REF!</definedName>
    <definedName name="PREST">#REF!</definedName>
    <definedName name="PROPONE" localSheetId="6">#REF!</definedName>
    <definedName name="PROPONE">#REF!</definedName>
    <definedName name="PUNT">[3]INSUMOS!$D$688</definedName>
    <definedName name="qdefqfqwreqwerqw" localSheetId="4">[1]Insumos!#REF!</definedName>
    <definedName name="qdefqfqwreqwerqw" localSheetId="3">[1]Insumos!#REF!</definedName>
    <definedName name="qdefqfqwreqwerqw" localSheetId="0">[1]Insumos!#REF!</definedName>
    <definedName name="qdefqfqwreqwerqw">[1]Insumos!#REF!</definedName>
    <definedName name="RAJON" localSheetId="6">#REF!</definedName>
    <definedName name="RAJON">#REF!</definedName>
    <definedName name="RECEBO" localSheetId="6">#REF!</definedName>
    <definedName name="RECEBO">#REF!</definedName>
    <definedName name="RETIROV" localSheetId="6">#REF!</definedName>
    <definedName name="RETIROV">#REF!</definedName>
    <definedName name="RETRO" localSheetId="6">#REF!</definedName>
    <definedName name="RETRO">#REF!</definedName>
    <definedName name="SARDINELV" localSheetId="6">#REF!</definedName>
    <definedName name="SARDINELV">#REF!</definedName>
    <definedName name="soladov" localSheetId="6">#REF!</definedName>
    <definedName name="soladov">#REF!</definedName>
    <definedName name="SUBBASE" localSheetId="6">#REF!</definedName>
    <definedName name="SUBBASE">#REF!</definedName>
    <definedName name="TABLA">[3]INSUMOS!$D$793</definedName>
    <definedName name="TANQUE" localSheetId="6">#REF!</definedName>
    <definedName name="TANQUE">#REF!</definedName>
    <definedName name="TERMINADORA" localSheetId="6">#REF!</definedName>
    <definedName name="TERMINADORA">#REF!</definedName>
    <definedName name="TEST1" localSheetId="6">#REF!</definedName>
    <definedName name="TEST1">#REF!</definedName>
    <definedName name="TOPO" localSheetId="6">#REF!</definedName>
    <definedName name="TOPO">#REF!</definedName>
    <definedName name="TRAB">[3]INSUMOS!$D$932</definedName>
    <definedName name="TUBO" localSheetId="6">#REF!</definedName>
    <definedName name="TUBO">#REF!</definedName>
    <definedName name="Unidades">[7]Unidades!$A$1:$A$65536</definedName>
    <definedName name="UTIL" localSheetId="6">#REF!</definedName>
    <definedName name="UTIL">#REF!</definedName>
    <definedName name="VIBRA">[3]INSUMOS!$D$1404</definedName>
    <definedName name="VIBRADOR" localSheetId="6">#REF!</definedName>
    <definedName name="VIBRADOR">#REF!</definedName>
    <definedName name="VIBRO" localSheetId="6">#REF!</definedName>
    <definedName name="VIBRO">#REF!</definedName>
    <definedName name="VOLQUETA" localSheetId="6">#REF!</definedName>
    <definedName name="VOLQUETA">#REF!</definedName>
    <definedName name="WW">#REF!</definedName>
    <definedName name="XXXXXX">#REF!</definedName>
    <definedName name="Z" localSheetId="6">[1]Insumos!#REF!</definedName>
    <definedName name="Z">[1]Insumos!#REF!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3" i="3" l="1"/>
  <c r="G27" i="3"/>
  <c r="G35" i="3"/>
  <c r="G55" i="3"/>
  <c r="G60" i="3"/>
  <c r="G71" i="3"/>
  <c r="G81" i="3"/>
  <c r="A23" i="9" l="1"/>
  <c r="C17" i="9"/>
  <c r="E17" i="9" s="1"/>
  <c r="B23" i="9" s="1"/>
  <c r="E23" i="9" s="1"/>
  <c r="A22" i="9"/>
  <c r="A21" i="9"/>
  <c r="C15" i="9"/>
  <c r="E15" i="9" s="1"/>
  <c r="B21" i="9" s="1"/>
  <c r="E21" i="9" s="1"/>
  <c r="C16" i="9"/>
  <c r="E16" i="9" s="1"/>
  <c r="B22" i="9" s="1"/>
  <c r="C14" i="9"/>
  <c r="E14" i="9" s="1"/>
  <c r="F75" i="12"/>
  <c r="E75" i="12"/>
  <c r="D75" i="12"/>
  <c r="B75" i="12"/>
  <c r="F74" i="12"/>
  <c r="E74" i="12"/>
  <c r="D74" i="12"/>
  <c r="B74" i="12"/>
  <c r="F73" i="12"/>
  <c r="E73" i="12"/>
  <c r="D73" i="12"/>
  <c r="B73" i="12"/>
  <c r="F72" i="12"/>
  <c r="E72" i="12"/>
  <c r="D72" i="12"/>
  <c r="B72" i="12"/>
  <c r="F71" i="12"/>
  <c r="E71" i="12"/>
  <c r="D71" i="12"/>
  <c r="B71" i="12"/>
  <c r="F70" i="12"/>
  <c r="E70" i="12"/>
  <c r="D70" i="12"/>
  <c r="B70" i="12"/>
  <c r="F69" i="12"/>
  <c r="E69" i="12"/>
  <c r="D69" i="12"/>
  <c r="B69" i="12"/>
  <c r="F68" i="12"/>
  <c r="E68" i="12"/>
  <c r="D68" i="12"/>
  <c r="B68" i="12"/>
  <c r="B67" i="12"/>
  <c r="F66" i="12"/>
  <c r="E66" i="12"/>
  <c r="D66" i="12"/>
  <c r="B66" i="12"/>
  <c r="F65" i="12"/>
  <c r="E65" i="12"/>
  <c r="D65" i="12"/>
  <c r="B65" i="12"/>
  <c r="F64" i="12"/>
  <c r="E64" i="12"/>
  <c r="D64" i="12"/>
  <c r="B64" i="12"/>
  <c r="F63" i="12"/>
  <c r="E63" i="12"/>
  <c r="D63" i="12"/>
  <c r="B63" i="12"/>
  <c r="F62" i="12"/>
  <c r="E62" i="12"/>
  <c r="D62" i="12"/>
  <c r="B62" i="12"/>
  <c r="F61" i="12"/>
  <c r="E61" i="12"/>
  <c r="D61" i="12"/>
  <c r="B61" i="12"/>
  <c r="F60" i="12"/>
  <c r="E60" i="12"/>
  <c r="D60" i="12"/>
  <c r="B60" i="12"/>
  <c r="F59" i="12"/>
  <c r="E59" i="12"/>
  <c r="D59" i="12"/>
  <c r="B59" i="12"/>
  <c r="F58" i="12"/>
  <c r="E58" i="12"/>
  <c r="D58" i="12"/>
  <c r="B58" i="12"/>
  <c r="B57" i="12"/>
  <c r="F56" i="12"/>
  <c r="E56" i="12"/>
  <c r="D56" i="12"/>
  <c r="B56" i="12"/>
  <c r="F55" i="12"/>
  <c r="E55" i="12"/>
  <c r="D55" i="12"/>
  <c r="B55" i="12"/>
  <c r="F54" i="12"/>
  <c r="E54" i="12"/>
  <c r="D54" i="12"/>
  <c r="B54" i="12"/>
  <c r="B53" i="12"/>
  <c r="F52" i="12"/>
  <c r="E52" i="12"/>
  <c r="D52" i="12"/>
  <c r="B52" i="12"/>
  <c r="F51" i="12"/>
  <c r="E51" i="12"/>
  <c r="D51" i="12"/>
  <c r="B51" i="12"/>
  <c r="F50" i="12"/>
  <c r="E50" i="12"/>
  <c r="D50" i="12"/>
  <c r="B50" i="12"/>
  <c r="F49" i="12"/>
  <c r="E49" i="12"/>
  <c r="D49" i="12"/>
  <c r="B49" i="12"/>
  <c r="F48" i="12"/>
  <c r="E48" i="12"/>
  <c r="D48" i="12"/>
  <c r="B48" i="12"/>
  <c r="F47" i="12"/>
  <c r="E47" i="12"/>
  <c r="D47" i="12"/>
  <c r="B47" i="12"/>
  <c r="F46" i="12"/>
  <c r="E46" i="12"/>
  <c r="D46" i="12"/>
  <c r="B46" i="12"/>
  <c r="F45" i="12"/>
  <c r="E45" i="12"/>
  <c r="D45" i="12"/>
  <c r="B45" i="12"/>
  <c r="F44" i="12"/>
  <c r="G44" i="12" s="1"/>
  <c r="E44" i="12"/>
  <c r="D44" i="12"/>
  <c r="B44" i="12"/>
  <c r="F43" i="12"/>
  <c r="E43" i="12"/>
  <c r="D43" i="12"/>
  <c r="B43" i="12"/>
  <c r="F42" i="12"/>
  <c r="E42" i="12"/>
  <c r="D42" i="12"/>
  <c r="B42" i="12"/>
  <c r="F41" i="12"/>
  <c r="E41" i="12"/>
  <c r="D41" i="12"/>
  <c r="B41" i="12"/>
  <c r="F40" i="12"/>
  <c r="E40" i="12"/>
  <c r="D40" i="12"/>
  <c r="B40" i="12"/>
  <c r="F39" i="12"/>
  <c r="E39" i="12"/>
  <c r="D39" i="12"/>
  <c r="B39" i="12"/>
  <c r="F38" i="12"/>
  <c r="E38" i="12"/>
  <c r="D38" i="12"/>
  <c r="B38" i="12"/>
  <c r="F37" i="12"/>
  <c r="E37" i="12"/>
  <c r="D37" i="12"/>
  <c r="B37" i="12"/>
  <c r="F36" i="12"/>
  <c r="E36" i="12"/>
  <c r="D36" i="12"/>
  <c r="B36" i="12"/>
  <c r="F35" i="12"/>
  <c r="E35" i="12"/>
  <c r="D35" i="12"/>
  <c r="B35" i="12"/>
  <c r="B34" i="12"/>
  <c r="F33" i="12"/>
  <c r="E33" i="12"/>
  <c r="D33" i="12"/>
  <c r="B33" i="12"/>
  <c r="F32" i="12"/>
  <c r="E32" i="12"/>
  <c r="D32" i="12"/>
  <c r="B32" i="12"/>
  <c r="F31" i="12"/>
  <c r="E31" i="12"/>
  <c r="D31" i="12"/>
  <c r="B31" i="12"/>
  <c r="F30" i="12"/>
  <c r="E30" i="12"/>
  <c r="D30" i="12"/>
  <c r="B30" i="12"/>
  <c r="F29" i="12"/>
  <c r="E29" i="12"/>
  <c r="D29" i="12"/>
  <c r="B29" i="12"/>
  <c r="F28" i="12"/>
  <c r="E28" i="12"/>
  <c r="D28" i="12"/>
  <c r="B28" i="12"/>
  <c r="B27" i="12"/>
  <c r="F26" i="12"/>
  <c r="E26" i="12"/>
  <c r="D26" i="12"/>
  <c r="B26" i="12"/>
  <c r="F25" i="12"/>
  <c r="E25" i="12"/>
  <c r="D25" i="12"/>
  <c r="B25" i="12"/>
  <c r="B24" i="12"/>
  <c r="F23" i="12"/>
  <c r="E23" i="12"/>
  <c r="D23" i="12"/>
  <c r="B23" i="12"/>
  <c r="F22" i="12"/>
  <c r="E22" i="12"/>
  <c r="D22" i="12"/>
  <c r="B22" i="12"/>
  <c r="A21" i="12"/>
  <c r="D21" i="12" s="1"/>
  <c r="F20" i="12"/>
  <c r="E20" i="12"/>
  <c r="D20" i="12"/>
  <c r="B20" i="12"/>
  <c r="F19" i="12"/>
  <c r="E19" i="12"/>
  <c r="D19" i="12"/>
  <c r="B19" i="12"/>
  <c r="E18" i="12"/>
  <c r="D18" i="12"/>
  <c r="B18" i="12"/>
  <c r="A18" i="12"/>
  <c r="F18" i="12" s="1"/>
  <c r="F17" i="12"/>
  <c r="E17" i="12"/>
  <c r="D17" i="12"/>
  <c r="B17" i="12"/>
  <c r="F16" i="12"/>
  <c r="E16" i="12"/>
  <c r="D16" i="12"/>
  <c r="B16" i="12"/>
  <c r="B15" i="12"/>
  <c r="A8" i="12"/>
  <c r="N44" i="6"/>
  <c r="F65" i="3"/>
  <c r="F44" i="6"/>
  <c r="E44" i="6"/>
  <c r="D44" i="6"/>
  <c r="B44" i="6"/>
  <c r="D45" i="6"/>
  <c r="B45" i="6"/>
  <c r="E45" i="6"/>
  <c r="F45" i="6"/>
  <c r="F52" i="6"/>
  <c r="E52" i="6"/>
  <c r="D52" i="6"/>
  <c r="B52" i="6"/>
  <c r="F56" i="6"/>
  <c r="E56" i="6"/>
  <c r="D56" i="6"/>
  <c r="B56" i="6"/>
  <c r="I814" i="5"/>
  <c r="D813" i="5"/>
  <c r="I813" i="5" s="1"/>
  <c r="F59" i="3"/>
  <c r="E1942" i="4"/>
  <c r="G1942" i="4" s="1"/>
  <c r="H1945" i="4" s="1"/>
  <c r="E1937" i="4"/>
  <c r="G1937" i="4" s="1"/>
  <c r="H1939" i="4" s="1"/>
  <c r="G1922" i="4" s="1"/>
  <c r="H1924" i="4" s="1"/>
  <c r="G1936" i="4"/>
  <c r="E1936" i="4"/>
  <c r="G1928" i="4"/>
  <c r="G1927" i="4"/>
  <c r="H1933" i="4" s="1"/>
  <c r="H1918" i="4"/>
  <c r="B1918" i="4"/>
  <c r="I433" i="5"/>
  <c r="I440" i="5" s="1"/>
  <c r="E59" i="3" s="1"/>
  <c r="G59" i="3" s="1"/>
  <c r="I431" i="5"/>
  <c r="C430" i="5"/>
  <c r="I549" i="5"/>
  <c r="I548" i="5"/>
  <c r="E570" i="5"/>
  <c r="E569" i="5"/>
  <c r="E568" i="5"/>
  <c r="I557" i="5"/>
  <c r="I556" i="5"/>
  <c r="I555" i="5"/>
  <c r="I553" i="5"/>
  <c r="C552" i="5"/>
  <c r="E547" i="5"/>
  <c r="D547" i="5"/>
  <c r="E545" i="5"/>
  <c r="D545" i="5"/>
  <c r="E536" i="5"/>
  <c r="I536" i="5" s="1"/>
  <c r="E535" i="5"/>
  <c r="I535" i="5" s="1"/>
  <c r="I534" i="5"/>
  <c r="I533" i="5"/>
  <c r="I532" i="5"/>
  <c r="I531" i="5"/>
  <c r="I530" i="5"/>
  <c r="I529" i="5"/>
  <c r="I528" i="5"/>
  <c r="I527" i="5"/>
  <c r="I526" i="5"/>
  <c r="I525" i="5"/>
  <c r="I524" i="5"/>
  <c r="I523" i="5"/>
  <c r="I522" i="5"/>
  <c r="I521" i="5"/>
  <c r="I520" i="5"/>
  <c r="I519" i="5"/>
  <c r="I518" i="5"/>
  <c r="E512" i="5"/>
  <c r="I512" i="5" s="1"/>
  <c r="E511" i="5"/>
  <c r="I511" i="5" s="1"/>
  <c r="I510" i="5"/>
  <c r="I509" i="5"/>
  <c r="I508" i="5"/>
  <c r="I507" i="5"/>
  <c r="I506" i="5"/>
  <c r="I505" i="5"/>
  <c r="I504" i="5"/>
  <c r="I503" i="5"/>
  <c r="I502" i="5"/>
  <c r="I501" i="5"/>
  <c r="I500" i="5"/>
  <c r="I499" i="5"/>
  <c r="I498" i="5"/>
  <c r="I497" i="5"/>
  <c r="I496" i="5"/>
  <c r="I495" i="5"/>
  <c r="I494" i="5"/>
  <c r="E488" i="5"/>
  <c r="I488" i="5" s="1"/>
  <c r="E487" i="5"/>
  <c r="I487" i="5" s="1"/>
  <c r="I486" i="5"/>
  <c r="I485" i="5"/>
  <c r="I484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70" i="5"/>
  <c r="E463" i="5"/>
  <c r="I463" i="5" s="1"/>
  <c r="E462" i="5"/>
  <c r="I462" i="5" s="1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45" i="5"/>
  <c r="I398" i="5"/>
  <c r="I405" i="5" s="1"/>
  <c r="E54" i="3" s="1"/>
  <c r="I396" i="5"/>
  <c r="C395" i="5"/>
  <c r="E352" i="5"/>
  <c r="I352" i="5" s="1"/>
  <c r="E351" i="5"/>
  <c r="I351" i="5" s="1"/>
  <c r="E350" i="5"/>
  <c r="F1786" i="4"/>
  <c r="F1787" i="4" s="1"/>
  <c r="G1775" i="4"/>
  <c r="H1778" i="4" s="1"/>
  <c r="E1770" i="4"/>
  <c r="G1770" i="4" s="1"/>
  <c r="E1769" i="4"/>
  <c r="G1769" i="4" s="1"/>
  <c r="G1760" i="4"/>
  <c r="G1759" i="4"/>
  <c r="H1750" i="4"/>
  <c r="B1750" i="4"/>
  <c r="I280" i="5"/>
  <c r="E254" i="5"/>
  <c r="E242" i="5"/>
  <c r="E232" i="5"/>
  <c r="I232" i="5" s="1"/>
  <c r="E231" i="5"/>
  <c r="I231" i="5" s="1"/>
  <c r="E218" i="5"/>
  <c r="D180" i="5"/>
  <c r="F180" i="5" s="1"/>
  <c r="I180" i="5" s="1"/>
  <c r="D179" i="5"/>
  <c r="F179" i="5" s="1"/>
  <c r="I209" i="5"/>
  <c r="I201" i="5"/>
  <c r="I200" i="5"/>
  <c r="I199" i="5"/>
  <c r="I198" i="5"/>
  <c r="I197" i="5"/>
  <c r="F178" i="5"/>
  <c r="I178" i="5" s="1"/>
  <c r="F177" i="5"/>
  <c r="I177" i="5" s="1"/>
  <c r="F176" i="5"/>
  <c r="I176" i="5" s="1"/>
  <c r="F175" i="5"/>
  <c r="I175" i="5" s="1"/>
  <c r="D147" i="5"/>
  <c r="D145" i="5"/>
  <c r="D143" i="5"/>
  <c r="D141" i="5"/>
  <c r="D139" i="5"/>
  <c r="F156" i="5"/>
  <c r="I156" i="5" s="1"/>
  <c r="F155" i="5"/>
  <c r="I155" i="5" s="1"/>
  <c r="F138" i="5"/>
  <c r="I138" i="5" s="1"/>
  <c r="F137" i="5"/>
  <c r="I137" i="5" s="1"/>
  <c r="D127" i="5"/>
  <c r="D125" i="5"/>
  <c r="D123" i="5"/>
  <c r="D121" i="5"/>
  <c r="D119" i="5"/>
  <c r="I113" i="5"/>
  <c r="E90" i="5"/>
  <c r="E89" i="5"/>
  <c r="E88" i="5"/>
  <c r="I72" i="5"/>
  <c r="I73" i="5"/>
  <c r="I74" i="5"/>
  <c r="I75" i="5"/>
  <c r="I44" i="5"/>
  <c r="I43" i="5"/>
  <c r="I42" i="5"/>
  <c r="I41" i="5"/>
  <c r="I40" i="5"/>
  <c r="G26" i="12" l="1"/>
  <c r="G61" i="12"/>
  <c r="G63" i="12"/>
  <c r="G71" i="12"/>
  <c r="G73" i="12"/>
  <c r="G35" i="12"/>
  <c r="G37" i="12"/>
  <c r="G39" i="12"/>
  <c r="G43" i="12"/>
  <c r="G45" i="12"/>
  <c r="G47" i="12"/>
  <c r="G51" i="12"/>
  <c r="G38" i="12"/>
  <c r="G46" i="12"/>
  <c r="G48" i="12"/>
  <c r="G50" i="12"/>
  <c r="G30" i="12"/>
  <c r="G23" i="12"/>
  <c r="G68" i="12"/>
  <c r="G70" i="12"/>
  <c r="G74" i="12"/>
  <c r="G55" i="12"/>
  <c r="G62" i="12"/>
  <c r="G75" i="12"/>
  <c r="G29" i="12"/>
  <c r="G31" i="12"/>
  <c r="G33" i="12"/>
  <c r="G22" i="12"/>
  <c r="G59" i="12"/>
  <c r="G25" i="12"/>
  <c r="G58" i="12"/>
  <c r="G60" i="12"/>
  <c r="E22" i="9"/>
  <c r="G16" i="12"/>
  <c r="G72" i="12"/>
  <c r="G36" i="12"/>
  <c r="G49" i="12"/>
  <c r="E21" i="12"/>
  <c r="G40" i="12"/>
  <c r="G42" i="12"/>
  <c r="G54" i="12"/>
  <c r="G56" i="12"/>
  <c r="G64" i="12"/>
  <c r="G66" i="12"/>
  <c r="G20" i="12"/>
  <c r="G17" i="12"/>
  <c r="G19" i="12"/>
  <c r="F21" i="12"/>
  <c r="G28" i="12"/>
  <c r="G32" i="12"/>
  <c r="G69" i="12"/>
  <c r="G41" i="12"/>
  <c r="G52" i="12"/>
  <c r="G65" i="12"/>
  <c r="G18" i="12"/>
  <c r="B21" i="12"/>
  <c r="G52" i="6"/>
  <c r="M52" i="6" s="1"/>
  <c r="G56" i="6"/>
  <c r="N56" i="6" s="1"/>
  <c r="H1947" i="4"/>
  <c r="I563" i="5"/>
  <c r="H1772" i="4"/>
  <c r="G1754" i="4" s="1"/>
  <c r="H1756" i="4" s="1"/>
  <c r="H1766" i="4"/>
  <c r="I179" i="5"/>
  <c r="I571" i="5"/>
  <c r="I570" i="5"/>
  <c r="I547" i="5"/>
  <c r="I546" i="5"/>
  <c r="I543" i="5"/>
  <c r="I340" i="5"/>
  <c r="F174" i="5"/>
  <c r="I174" i="5" s="1"/>
  <c r="F172" i="5"/>
  <c r="F170" i="5"/>
  <c r="F168" i="5"/>
  <c r="I168" i="5" s="1"/>
  <c r="F166" i="5"/>
  <c r="F164" i="5"/>
  <c r="F162" i="5"/>
  <c r="F160" i="5"/>
  <c r="F147" i="5"/>
  <c r="I147" i="5" s="1"/>
  <c r="F148" i="5"/>
  <c r="I148" i="5" s="1"/>
  <c r="F149" i="5"/>
  <c r="I149" i="5" s="1"/>
  <c r="F158" i="5"/>
  <c r="I158" i="5" s="1"/>
  <c r="F157" i="5"/>
  <c r="I157" i="5" s="1"/>
  <c r="F154" i="5"/>
  <c r="I154" i="5" s="1"/>
  <c r="F152" i="5"/>
  <c r="I152" i="5" s="1"/>
  <c r="F151" i="5"/>
  <c r="I151" i="5" s="1"/>
  <c r="F150" i="5"/>
  <c r="I150" i="5" s="1"/>
  <c r="F146" i="5"/>
  <c r="I146" i="5" s="1"/>
  <c r="F136" i="5"/>
  <c r="I136" i="5" s="1"/>
  <c r="F135" i="5"/>
  <c r="I135" i="5" s="1"/>
  <c r="F134" i="5"/>
  <c r="I134" i="5" s="1"/>
  <c r="F133" i="5"/>
  <c r="I133" i="5" s="1"/>
  <c r="F132" i="5"/>
  <c r="I132" i="5" s="1"/>
  <c r="F131" i="5"/>
  <c r="I131" i="5" s="1"/>
  <c r="F130" i="5"/>
  <c r="I130" i="5" s="1"/>
  <c r="F129" i="5"/>
  <c r="I129" i="5" s="1"/>
  <c r="F128" i="5"/>
  <c r="F127" i="5"/>
  <c r="I127" i="5" s="1"/>
  <c r="I422" i="5"/>
  <c r="I196" i="5"/>
  <c r="I195" i="5"/>
  <c r="I194" i="5"/>
  <c r="I193" i="5"/>
  <c r="I192" i="5"/>
  <c r="I191" i="5"/>
  <c r="I190" i="5"/>
  <c r="I189" i="5"/>
  <c r="I188" i="5"/>
  <c r="I187" i="5"/>
  <c r="I112" i="5"/>
  <c r="I111" i="5"/>
  <c r="I110" i="5"/>
  <c r="I109" i="5"/>
  <c r="I97" i="5"/>
  <c r="I95" i="5"/>
  <c r="I94" i="5"/>
  <c r="I93" i="5"/>
  <c r="I96" i="5"/>
  <c r="I92" i="5"/>
  <c r="I91" i="5"/>
  <c r="I90" i="5"/>
  <c r="I89" i="5"/>
  <c r="I88" i="5"/>
  <c r="I71" i="5"/>
  <c r="I70" i="5"/>
  <c r="I69" i="5"/>
  <c r="I68" i="5"/>
  <c r="I67" i="5"/>
  <c r="I52" i="5"/>
  <c r="I39" i="5"/>
  <c r="I38" i="5"/>
  <c r="I37" i="5"/>
  <c r="I35" i="5"/>
  <c r="I34" i="5"/>
  <c r="I33" i="5"/>
  <c r="I36" i="5"/>
  <c r="I20" i="5"/>
  <c r="G21" i="12" l="1"/>
  <c r="G77" i="12" s="1"/>
  <c r="F1952" i="4"/>
  <c r="F1953" i="4"/>
  <c r="F1954" i="4" s="1"/>
  <c r="F1951" i="4"/>
  <c r="H1780" i="4"/>
  <c r="I172" i="5"/>
  <c r="I170" i="5"/>
  <c r="I166" i="5"/>
  <c r="I164" i="5"/>
  <c r="I162" i="5"/>
  <c r="I160" i="5"/>
  <c r="I128" i="5"/>
  <c r="D775" i="5"/>
  <c r="F775" i="5" s="1"/>
  <c r="I775" i="5" s="1"/>
  <c r="D663" i="5"/>
  <c r="H28" i="12" l="1"/>
  <c r="H39" i="12"/>
  <c r="H37" i="12"/>
  <c r="H40" i="12"/>
  <c r="H31" i="12"/>
  <c r="H46" i="12"/>
  <c r="H25" i="12"/>
  <c r="H60" i="12"/>
  <c r="H51" i="12"/>
  <c r="H65" i="12"/>
  <c r="H58" i="12"/>
  <c r="H18" i="12"/>
  <c r="H59" i="12"/>
  <c r="H62" i="12"/>
  <c r="H32" i="12"/>
  <c r="H17" i="12"/>
  <c r="H63" i="12"/>
  <c r="H42" i="12"/>
  <c r="H71" i="12"/>
  <c r="H35" i="12"/>
  <c r="H74" i="12"/>
  <c r="H26" i="12"/>
  <c r="H72" i="12"/>
  <c r="H56" i="12"/>
  <c r="H54" i="12"/>
  <c r="H30" i="12"/>
  <c r="H52" i="12"/>
  <c r="H44" i="12"/>
  <c r="H70" i="12"/>
  <c r="H68" i="12"/>
  <c r="H47" i="12"/>
  <c r="H49" i="12"/>
  <c r="H36" i="12"/>
  <c r="H61" i="12"/>
  <c r="H50" i="12"/>
  <c r="H66" i="12"/>
  <c r="H64" i="12"/>
  <c r="G80" i="12"/>
  <c r="H80" i="12" s="1"/>
  <c r="H29" i="12"/>
  <c r="H41" i="12"/>
  <c r="H22" i="12"/>
  <c r="H48" i="12"/>
  <c r="H33" i="12"/>
  <c r="H45" i="12"/>
  <c r="H16" i="12"/>
  <c r="G79" i="12"/>
  <c r="H79" i="12" s="1"/>
  <c r="H19" i="12"/>
  <c r="G78" i="12"/>
  <c r="H78" i="12" s="1"/>
  <c r="H81" i="12" s="1"/>
  <c r="H43" i="12"/>
  <c r="H55" i="12"/>
  <c r="H38" i="12"/>
  <c r="H69" i="12"/>
  <c r="H75" i="12"/>
  <c r="H20" i="12"/>
  <c r="H73" i="12"/>
  <c r="H23" i="12"/>
  <c r="H21" i="12"/>
  <c r="H1955" i="4"/>
  <c r="H1957" i="4" s="1"/>
  <c r="F1785" i="4"/>
  <c r="F54" i="3"/>
  <c r="G54" i="3" s="1"/>
  <c r="F1784" i="4"/>
  <c r="G216" i="4"/>
  <c r="D22" i="6"/>
  <c r="B22" i="6"/>
  <c r="A21" i="6"/>
  <c r="E281" i="4"/>
  <c r="G281" i="4" s="1"/>
  <c r="H284" i="4" s="1"/>
  <c r="E276" i="4"/>
  <c r="G276" i="4" s="1"/>
  <c r="E275" i="4"/>
  <c r="G275" i="4" s="1"/>
  <c r="H272" i="4"/>
  <c r="H261" i="4"/>
  <c r="B261" i="4"/>
  <c r="F663" i="5"/>
  <c r="I663" i="5" s="1"/>
  <c r="I665" i="5" s="1"/>
  <c r="E20" i="3" s="1"/>
  <c r="I661" i="5"/>
  <c r="C660" i="5"/>
  <c r="H77" i="12" l="1"/>
  <c r="G81" i="12"/>
  <c r="H82" i="12" s="1"/>
  <c r="G82" i="12"/>
  <c r="E21" i="6"/>
  <c r="H1788" i="4"/>
  <c r="H1790" i="4" s="1"/>
  <c r="H278" i="4"/>
  <c r="G265" i="4" s="1"/>
  <c r="H267" i="4" s="1"/>
  <c r="H286" i="4" s="1"/>
  <c r="F20" i="3" s="1"/>
  <c r="G20" i="3" s="1"/>
  <c r="F292" i="4" l="1"/>
  <c r="F293" i="4" s="1"/>
  <c r="F290" i="4"/>
  <c r="F291" i="4"/>
  <c r="H294" i="4" l="1"/>
  <c r="H296" i="4" s="1"/>
  <c r="G2146" i="4" l="1"/>
  <c r="G2092" i="4"/>
  <c r="G2094" i="4"/>
  <c r="G2093" i="4"/>
  <c r="G2084" i="4"/>
  <c r="G2104" i="4"/>
  <c r="H2107" i="4" s="1"/>
  <c r="E2099" i="4"/>
  <c r="G2099" i="4" s="1"/>
  <c r="E2098" i="4"/>
  <c r="G2098" i="4" s="1"/>
  <c r="E2091" i="4"/>
  <c r="G2091" i="4" s="1"/>
  <c r="E2090" i="4"/>
  <c r="G2090" i="4" s="1"/>
  <c r="E2089" i="4"/>
  <c r="G2089" i="4" s="1"/>
  <c r="G2088" i="4"/>
  <c r="H2079" i="4"/>
  <c r="B2079" i="4"/>
  <c r="G739" i="4"/>
  <c r="G731" i="4"/>
  <c r="D66" i="6"/>
  <c r="B66" i="6"/>
  <c r="E2848" i="4"/>
  <c r="G2848" i="4" s="1"/>
  <c r="E2847" i="4"/>
  <c r="G2847" i="4" s="1"/>
  <c r="G2838" i="4"/>
  <c r="G2837" i="4"/>
  <c r="G2836" i="4"/>
  <c r="G2890" i="4"/>
  <c r="G1549" i="4"/>
  <c r="H1552" i="4" s="1"/>
  <c r="E1544" i="4"/>
  <c r="G1544" i="4" s="1"/>
  <c r="E1543" i="4"/>
  <c r="G1543" i="4" s="1"/>
  <c r="G1535" i="4"/>
  <c r="G1534" i="4"/>
  <c r="G1533" i="4"/>
  <c r="F1560" i="4"/>
  <c r="F1561" i="4" s="1"/>
  <c r="H1524" i="4"/>
  <c r="B1524" i="4"/>
  <c r="H2101" i="4" l="1"/>
  <c r="G2083" i="4" s="1"/>
  <c r="H2085" i="4" s="1"/>
  <c r="H2095" i="4"/>
  <c r="H1540" i="4"/>
  <c r="H1546" i="4"/>
  <c r="G1528" i="4" s="1"/>
  <c r="H1530" i="4" s="1"/>
  <c r="H1554" i="4" s="1"/>
  <c r="F50" i="3" s="1"/>
  <c r="H2109" i="4" l="1"/>
  <c r="F2113" i="4" s="1"/>
  <c r="F1559" i="4"/>
  <c r="F1558" i="4"/>
  <c r="F2115" i="4" l="1"/>
  <c r="F2116" i="4" s="1"/>
  <c r="F2114" i="4"/>
  <c r="H1562" i="4"/>
  <c r="H1564" i="4" s="1"/>
  <c r="H2117" i="4" l="1"/>
  <c r="H2119" i="4" s="1"/>
  <c r="F64" i="3" s="1"/>
  <c r="I693" i="5"/>
  <c r="I695" i="5" s="1"/>
  <c r="I686" i="5"/>
  <c r="I688" i="5" s="1"/>
  <c r="I691" i="5"/>
  <c r="C690" i="5"/>
  <c r="I684" i="5"/>
  <c r="C683" i="5"/>
  <c r="I828" i="5" l="1"/>
  <c r="G1720" i="4"/>
  <c r="H1723" i="4" s="1"/>
  <c r="E1715" i="4"/>
  <c r="G1715" i="4" s="1"/>
  <c r="E1714" i="4"/>
  <c r="G1714" i="4" s="1"/>
  <c r="G1705" i="4"/>
  <c r="G1704" i="4"/>
  <c r="G1665" i="4"/>
  <c r="H1668" i="4" s="1"/>
  <c r="E1660" i="4"/>
  <c r="G1660" i="4" s="1"/>
  <c r="E1659" i="4"/>
  <c r="G1659" i="4" s="1"/>
  <c r="G1650" i="4"/>
  <c r="G1649" i="4"/>
  <c r="H1640" i="4"/>
  <c r="B1640" i="4"/>
  <c r="G1610" i="4"/>
  <c r="H1613" i="4" s="1"/>
  <c r="E1605" i="4"/>
  <c r="G1605" i="4" s="1"/>
  <c r="E1604" i="4"/>
  <c r="G1604" i="4" s="1"/>
  <c r="G1595" i="4"/>
  <c r="G1594" i="4"/>
  <c r="G1494" i="4"/>
  <c r="H1497" i="4" s="1"/>
  <c r="E1489" i="4"/>
  <c r="G1489" i="4" s="1"/>
  <c r="E1488" i="4"/>
  <c r="G1488" i="4" s="1"/>
  <c r="G1481" i="4"/>
  <c r="G1480" i="4"/>
  <c r="G1479" i="4"/>
  <c r="F1478" i="4"/>
  <c r="G1478" i="4" s="1"/>
  <c r="G2425" i="4"/>
  <c r="H2428" i="4" s="1"/>
  <c r="E2420" i="4"/>
  <c r="G2420" i="4" s="1"/>
  <c r="E2419" i="4"/>
  <c r="G2419" i="4" s="1"/>
  <c r="G2412" i="4"/>
  <c r="G2411" i="4"/>
  <c r="G2410" i="4"/>
  <c r="H1656" i="4" l="1"/>
  <c r="H1662" i="4"/>
  <c r="G1644" i="4" s="1"/>
  <c r="H1646" i="4" s="1"/>
  <c r="H1711" i="4"/>
  <c r="H1717" i="4"/>
  <c r="G1699" i="4" s="1"/>
  <c r="H1701" i="4" s="1"/>
  <c r="H1485" i="4"/>
  <c r="H1601" i="4"/>
  <c r="H1607" i="4"/>
  <c r="G1589" i="4" s="1"/>
  <c r="H1591" i="4" s="1"/>
  <c r="H1491" i="4"/>
  <c r="G1473" i="4" s="1"/>
  <c r="H1475" i="4" s="1"/>
  <c r="H2416" i="4"/>
  <c r="H2422" i="4"/>
  <c r="G2405" i="4" s="1"/>
  <c r="H2407" i="4" s="1"/>
  <c r="H1615" i="4" l="1"/>
  <c r="H1725" i="4"/>
  <c r="F53" i="3" s="1"/>
  <c r="H1670" i="4"/>
  <c r="F52" i="3" s="1"/>
  <c r="H1499" i="4"/>
  <c r="F49" i="3" s="1"/>
  <c r="H2430" i="4"/>
  <c r="F1504" i="4" l="1"/>
  <c r="F1731" i="4"/>
  <c r="F1732" i="4" s="1"/>
  <c r="F1729" i="4"/>
  <c r="F1730" i="4"/>
  <c r="F1675" i="4"/>
  <c r="F1676" i="4"/>
  <c r="F1677" i="4" s="1"/>
  <c r="F1674" i="4"/>
  <c r="F1503" i="4"/>
  <c r="F2435" i="4"/>
  <c r="F2434" i="4"/>
  <c r="F2436" i="4"/>
  <c r="F2437" i="4" s="1"/>
  <c r="H1733" i="4" l="1"/>
  <c r="H1735" i="4" s="1"/>
  <c r="H1678" i="4"/>
  <c r="H1680" i="4" s="1"/>
  <c r="H2438" i="4"/>
  <c r="H2440" i="4" s="1"/>
  <c r="F70" i="3" s="1"/>
  <c r="H2401" i="4" l="1"/>
  <c r="B2401" i="4"/>
  <c r="G2159" i="4"/>
  <c r="H2162" i="4" s="1"/>
  <c r="E2154" i="4"/>
  <c r="G2154" i="4" s="1"/>
  <c r="E2153" i="4"/>
  <c r="G2153" i="4" s="1"/>
  <c r="G2145" i="4"/>
  <c r="G2144" i="4"/>
  <c r="H2135" i="4"/>
  <c r="B2135" i="4"/>
  <c r="C827" i="5"/>
  <c r="H2150" i="4" l="1"/>
  <c r="H2156" i="4"/>
  <c r="G2139" i="4" s="1"/>
  <c r="H2141" i="4" s="1"/>
  <c r="H2164" i="4" l="1"/>
  <c r="F2169" i="4" s="1"/>
  <c r="F2170" i="4" l="1"/>
  <c r="F2171" i="4" s="1"/>
  <c r="F2168" i="4"/>
  <c r="H2172" i="4" l="1"/>
  <c r="H2174" i="4" s="1"/>
  <c r="I831" i="5"/>
  <c r="D830" i="5"/>
  <c r="A842" i="5"/>
  <c r="C841" i="5" s="1"/>
  <c r="G1376" i="4"/>
  <c r="G1377" i="4"/>
  <c r="F830" i="5" l="1"/>
  <c r="I830" i="5" s="1"/>
  <c r="I832" i="5" s="1"/>
  <c r="E64" i="3" s="1"/>
  <c r="G64" i="3" s="1"/>
  <c r="C846" i="5" l="1"/>
  <c r="C847" i="5"/>
  <c r="E847" i="5" s="1"/>
  <c r="F847" i="5"/>
  <c r="G847" i="5"/>
  <c r="D69" i="6"/>
  <c r="D70" i="6"/>
  <c r="D71" i="6"/>
  <c r="D72" i="6"/>
  <c r="D73" i="6"/>
  <c r="D74" i="6"/>
  <c r="D75" i="6"/>
  <c r="D68" i="6"/>
  <c r="B69" i="6"/>
  <c r="B70" i="6"/>
  <c r="B71" i="6"/>
  <c r="B72" i="6"/>
  <c r="B73" i="6"/>
  <c r="B74" i="6"/>
  <c r="B75" i="6"/>
  <c r="B68" i="6"/>
  <c r="D59" i="6"/>
  <c r="D60" i="6"/>
  <c r="D61" i="6"/>
  <c r="D62" i="6"/>
  <c r="D63" i="6"/>
  <c r="D64" i="6"/>
  <c r="D65" i="6"/>
  <c r="D58" i="6"/>
  <c r="D55" i="6"/>
  <c r="D54" i="6"/>
  <c r="B59" i="6"/>
  <c r="B60" i="6"/>
  <c r="B61" i="6"/>
  <c r="B62" i="6"/>
  <c r="B63" i="6"/>
  <c r="B64" i="6"/>
  <c r="B65" i="6"/>
  <c r="B58" i="6"/>
  <c r="B55" i="6"/>
  <c r="B54" i="6"/>
  <c r="B67" i="6"/>
  <c r="B57" i="6"/>
  <c r="B53" i="6"/>
  <c r="D36" i="6"/>
  <c r="D37" i="6"/>
  <c r="D38" i="6"/>
  <c r="D39" i="6"/>
  <c r="D40" i="6"/>
  <c r="D41" i="6"/>
  <c r="D42" i="6"/>
  <c r="D43" i="6"/>
  <c r="D46" i="6"/>
  <c r="D47" i="6"/>
  <c r="D48" i="6"/>
  <c r="D49" i="6"/>
  <c r="D50" i="6"/>
  <c r="D51" i="6"/>
  <c r="D35" i="6"/>
  <c r="B36" i="6"/>
  <c r="B37" i="6"/>
  <c r="B38" i="6"/>
  <c r="B39" i="6"/>
  <c r="B40" i="6"/>
  <c r="B41" i="6"/>
  <c r="B42" i="6"/>
  <c r="B43" i="6"/>
  <c r="B46" i="6"/>
  <c r="B47" i="6"/>
  <c r="B48" i="6"/>
  <c r="B49" i="6"/>
  <c r="B50" i="6"/>
  <c r="B51" i="6"/>
  <c r="B35" i="6"/>
  <c r="B34" i="6"/>
  <c r="D29" i="6"/>
  <c r="D30" i="6"/>
  <c r="D31" i="6"/>
  <c r="D32" i="6"/>
  <c r="D33" i="6"/>
  <c r="B29" i="6"/>
  <c r="B30" i="6"/>
  <c r="B31" i="6"/>
  <c r="B32" i="6"/>
  <c r="B33" i="6"/>
  <c r="D17" i="6"/>
  <c r="D19" i="6"/>
  <c r="D20" i="6"/>
  <c r="D21" i="6"/>
  <c r="B17" i="6"/>
  <c r="B19" i="6"/>
  <c r="B20" i="6"/>
  <c r="B21" i="6"/>
  <c r="D16" i="6"/>
  <c r="A18" i="6"/>
  <c r="B18" i="6" s="1"/>
  <c r="I847" i="5" l="1"/>
  <c r="B23" i="6"/>
  <c r="D23" i="6"/>
  <c r="D18" i="6"/>
  <c r="L843" i="5" l="1"/>
  <c r="K843" i="5"/>
  <c r="M841" i="5"/>
  <c r="M842" i="5"/>
  <c r="M840" i="5"/>
  <c r="M839" i="5"/>
  <c r="E846" i="5"/>
  <c r="F846" i="5"/>
  <c r="G846" i="5"/>
  <c r="B1418" i="4"/>
  <c r="G1439" i="4"/>
  <c r="H1442" i="4" s="1"/>
  <c r="E1434" i="4"/>
  <c r="G1434" i="4" s="1"/>
  <c r="E1433" i="4"/>
  <c r="G1433" i="4" s="1"/>
  <c r="H1430" i="4"/>
  <c r="H1418" i="4"/>
  <c r="I837" i="5"/>
  <c r="A835" i="5"/>
  <c r="I835" i="5" s="1"/>
  <c r="M844" i="5" l="1"/>
  <c r="M843" i="5"/>
  <c r="I846" i="5"/>
  <c r="H1436" i="4"/>
  <c r="G1422" i="4" s="1"/>
  <c r="H1424" i="4" s="1"/>
  <c r="H1444" i="4" s="1"/>
  <c r="F48" i="3" s="1"/>
  <c r="F46" i="6" s="1"/>
  <c r="I839" i="5"/>
  <c r="E48" i="3" s="1"/>
  <c r="G48" i="3" l="1"/>
  <c r="E46" i="6"/>
  <c r="G46" i="6" s="1"/>
  <c r="I46" i="6" s="1"/>
  <c r="F1450" i="4"/>
  <c r="F1451" i="4" s="1"/>
  <c r="F1448" i="4"/>
  <c r="F1449" i="4"/>
  <c r="G1375" i="4"/>
  <c r="G1325" i="4"/>
  <c r="G1324" i="4"/>
  <c r="G1323" i="4"/>
  <c r="H1452" i="4" l="1"/>
  <c r="H1454" i="4" s="1"/>
  <c r="B1366" i="4" l="1"/>
  <c r="H1314" i="4"/>
  <c r="B1314" i="4"/>
  <c r="G1220" i="4"/>
  <c r="F1216" i="4"/>
  <c r="C711" i="5"/>
  <c r="I714" i="5"/>
  <c r="I716" i="5" s="1"/>
  <c r="I712" i="5"/>
  <c r="C323" i="5"/>
  <c r="I326" i="5"/>
  <c r="I333" i="5" s="1"/>
  <c r="I314" i="5"/>
  <c r="I321" i="5" s="1"/>
  <c r="I312" i="5"/>
  <c r="C311" i="5"/>
  <c r="I302" i="5"/>
  <c r="I309" i="5" s="1"/>
  <c r="E44" i="3" s="1"/>
  <c r="E42" i="6" s="1"/>
  <c r="I300" i="5"/>
  <c r="C299" i="5"/>
  <c r="E45" i="3" l="1"/>
  <c r="E43" i="6" s="1"/>
  <c r="E46" i="3"/>
  <c r="I707" i="5" l="1"/>
  <c r="I709" i="5" s="1"/>
  <c r="I705" i="5"/>
  <c r="C704" i="5"/>
  <c r="I700" i="5"/>
  <c r="I702" i="5" s="1"/>
  <c r="I698" i="5"/>
  <c r="C697" i="5"/>
  <c r="H1469" i="4"/>
  <c r="B1469" i="4"/>
  <c r="G1388" i="4"/>
  <c r="H1391" i="4" s="1"/>
  <c r="E1383" i="4"/>
  <c r="G1383" i="4" s="1"/>
  <c r="E1382" i="4"/>
  <c r="G1382" i="4" s="1"/>
  <c r="H1366" i="4"/>
  <c r="G1336" i="4"/>
  <c r="H1339" i="4" s="1"/>
  <c r="E1331" i="4"/>
  <c r="G1331" i="4" s="1"/>
  <c r="E1330" i="4"/>
  <c r="G1330" i="4" s="1"/>
  <c r="G1284" i="4"/>
  <c r="H1287" i="4" s="1"/>
  <c r="E1279" i="4"/>
  <c r="G1279" i="4" s="1"/>
  <c r="E1278" i="4"/>
  <c r="G1278" i="4" s="1"/>
  <c r="G1271" i="4"/>
  <c r="H1262" i="4"/>
  <c r="B1262" i="4"/>
  <c r="E781" i="5"/>
  <c r="D781" i="5"/>
  <c r="I779" i="5"/>
  <c r="C778" i="5"/>
  <c r="D774" i="5"/>
  <c r="F761" i="5"/>
  <c r="I761" i="5" s="1"/>
  <c r="E760" i="5"/>
  <c r="F760" i="5" s="1"/>
  <c r="I760" i="5" s="1"/>
  <c r="D759" i="5"/>
  <c r="F759" i="5" s="1"/>
  <c r="I759" i="5" s="1"/>
  <c r="F753" i="5"/>
  <c r="I753" i="5" s="1"/>
  <c r="E752" i="5"/>
  <c r="F752" i="5" s="1"/>
  <c r="I752" i="5" s="1"/>
  <c r="D751" i="5"/>
  <c r="F751" i="5" s="1"/>
  <c r="I751" i="5" s="1"/>
  <c r="F731" i="5"/>
  <c r="I731" i="5" s="1"/>
  <c r="E730" i="5"/>
  <c r="F730" i="5" s="1"/>
  <c r="I730" i="5" s="1"/>
  <c r="I728" i="5"/>
  <c r="C727" i="5"/>
  <c r="F745" i="5"/>
  <c r="I745" i="5" s="1"/>
  <c r="E744" i="5"/>
  <c r="F744" i="5" s="1"/>
  <c r="I744" i="5" s="1"/>
  <c r="D743" i="5"/>
  <c r="F743" i="5" s="1"/>
  <c r="I743" i="5" s="1"/>
  <c r="D737" i="5"/>
  <c r="G2692" i="4"/>
  <c r="H2695" i="4" s="1"/>
  <c r="E2687" i="4"/>
  <c r="G2687" i="4" s="1"/>
  <c r="E2686" i="4"/>
  <c r="G2686" i="4" s="1"/>
  <c r="G2680" i="4"/>
  <c r="G2679" i="4"/>
  <c r="G2678" i="4"/>
  <c r="H2669" i="4"/>
  <c r="B2669" i="4"/>
  <c r="I804" i="5"/>
  <c r="I806" i="5" s="1"/>
  <c r="E77" i="3" s="1"/>
  <c r="E72" i="6" s="1"/>
  <c r="I802" i="5"/>
  <c r="C801" i="5"/>
  <c r="E2634" i="4"/>
  <c r="G2634" i="4" s="1"/>
  <c r="E2633" i="4"/>
  <c r="G2633" i="4" s="1"/>
  <c r="G2627" i="4"/>
  <c r="G2626" i="4"/>
  <c r="G2625" i="4"/>
  <c r="G2624" i="4"/>
  <c r="G2639" i="4"/>
  <c r="H2642" i="4" s="1"/>
  <c r="H2615" i="4"/>
  <c r="B2615" i="4"/>
  <c r="E2606" i="4"/>
  <c r="F781" i="5" l="1"/>
  <c r="I781" i="5" s="1"/>
  <c r="I783" i="5" s="1"/>
  <c r="H1327" i="4"/>
  <c r="H1379" i="4"/>
  <c r="H1275" i="4"/>
  <c r="H1385" i="4"/>
  <c r="G1370" i="4" s="1"/>
  <c r="H1372" i="4" s="1"/>
  <c r="H1333" i="4"/>
  <c r="G1318" i="4" s="1"/>
  <c r="H1320" i="4" s="1"/>
  <c r="H1281" i="4"/>
  <c r="G1266" i="4" s="1"/>
  <c r="H1268" i="4" s="1"/>
  <c r="I732" i="5"/>
  <c r="H2683" i="4"/>
  <c r="H2689" i="4"/>
  <c r="G2673" i="4" s="1"/>
  <c r="H2675" i="4" s="1"/>
  <c r="H2630" i="4"/>
  <c r="H2636" i="4"/>
  <c r="G2619" i="4" s="1"/>
  <c r="H2621" i="4" s="1"/>
  <c r="H1289" i="4" l="1"/>
  <c r="H1341" i="4"/>
  <c r="F1505" i="4"/>
  <c r="H1393" i="4"/>
  <c r="H2697" i="4"/>
  <c r="F77" i="3" s="1"/>
  <c r="H2644" i="4"/>
  <c r="F76" i="3" s="1"/>
  <c r="F71" i="6" s="1"/>
  <c r="F1506" i="4" l="1"/>
  <c r="H1507" i="4" s="1"/>
  <c r="H1509" i="4" s="1"/>
  <c r="G77" i="3"/>
  <c r="F72" i="6"/>
  <c r="G72" i="6" s="1"/>
  <c r="N72" i="6" s="1"/>
  <c r="F1345" i="4"/>
  <c r="F46" i="3"/>
  <c r="G46" i="3" s="1"/>
  <c r="F1397" i="4"/>
  <c r="F47" i="3"/>
  <c r="F1294" i="4"/>
  <c r="F45" i="3"/>
  <c r="F1295" i="4"/>
  <c r="F1296" i="4" s="1"/>
  <c r="F1398" i="4"/>
  <c r="F1346" i="4"/>
  <c r="F1399" i="4"/>
  <c r="F1400" i="4" s="1"/>
  <c r="F1347" i="4"/>
  <c r="F1348" i="4" s="1"/>
  <c r="F1293" i="4"/>
  <c r="F2703" i="4"/>
  <c r="F2704" i="4" s="1"/>
  <c r="F2702" i="4"/>
  <c r="F2701" i="4"/>
  <c r="F2650" i="4"/>
  <c r="F2651" i="4" s="1"/>
  <c r="F2648" i="4"/>
  <c r="F2649" i="4"/>
  <c r="G45" i="3" l="1"/>
  <c r="F43" i="6"/>
  <c r="G43" i="6" s="1"/>
  <c r="N43" i="6" s="1"/>
  <c r="H1297" i="4"/>
  <c r="H1299" i="4" s="1"/>
  <c r="H1401" i="4"/>
  <c r="H1403" i="4" s="1"/>
  <c r="H1349" i="4"/>
  <c r="H1351" i="4" s="1"/>
  <c r="H2705" i="4"/>
  <c r="H2707" i="4" s="1"/>
  <c r="H2652" i="4"/>
  <c r="H2654" i="4" s="1"/>
  <c r="F671" i="5" l="1"/>
  <c r="I671" i="5" s="1"/>
  <c r="G2575" i="4"/>
  <c r="G2574" i="4"/>
  <c r="G2573" i="4"/>
  <c r="G2572" i="4"/>
  <c r="G2571" i="4"/>
  <c r="G2570" i="4"/>
  <c r="I795" i="5"/>
  <c r="C794" i="5"/>
  <c r="C787" i="5"/>
  <c r="D821" i="5"/>
  <c r="I821" i="5" s="1"/>
  <c r="I820" i="5"/>
  <c r="D819" i="5"/>
  <c r="I819" i="5" s="1"/>
  <c r="I812" i="5"/>
  <c r="I811" i="5"/>
  <c r="A785" i="5"/>
  <c r="E381" i="4" l="1"/>
  <c r="G381" i="4" s="1"/>
  <c r="H384" i="4" s="1"/>
  <c r="E376" i="4"/>
  <c r="G376" i="4" s="1"/>
  <c r="E375" i="4"/>
  <c r="G375" i="4" s="1"/>
  <c r="H372" i="4"/>
  <c r="H361" i="4"/>
  <c r="B361" i="4"/>
  <c r="A725" i="5"/>
  <c r="A681" i="5"/>
  <c r="A627" i="5"/>
  <c r="I675" i="5"/>
  <c r="C674" i="5"/>
  <c r="H378" i="4" l="1"/>
  <c r="G365" i="4" s="1"/>
  <c r="H367" i="4" s="1"/>
  <c r="H386" i="4" s="1"/>
  <c r="F392" i="4" l="1"/>
  <c r="F393" i="4" s="1"/>
  <c r="F22" i="3"/>
  <c r="F23" i="6" s="1"/>
  <c r="F390" i="4"/>
  <c r="F391" i="4"/>
  <c r="H394" i="4" l="1"/>
  <c r="H396" i="4" s="1"/>
  <c r="D636" i="5" l="1"/>
  <c r="I636" i="5" s="1"/>
  <c r="I635" i="5"/>
  <c r="D634" i="5"/>
  <c r="I634" i="5" s="1"/>
  <c r="I721" i="5" l="1"/>
  <c r="I723" i="5" s="1"/>
  <c r="E47" i="3" s="1"/>
  <c r="I719" i="5"/>
  <c r="C718" i="5"/>
  <c r="I797" i="5"/>
  <c r="I799" i="5" s="1"/>
  <c r="E75" i="3" s="1"/>
  <c r="E70" i="6" s="1"/>
  <c r="I790" i="5"/>
  <c r="I792" i="5" s="1"/>
  <c r="I788" i="5"/>
  <c r="G2358" i="4"/>
  <c r="G2354" i="4"/>
  <c r="G2353" i="4"/>
  <c r="G2371" i="4"/>
  <c r="H2374" i="4" s="1"/>
  <c r="E2366" i="4"/>
  <c r="G2366" i="4" s="1"/>
  <c r="E2365" i="4"/>
  <c r="G2365" i="4" s="1"/>
  <c r="G2360" i="4"/>
  <c r="G2359" i="4"/>
  <c r="H2349" i="4"/>
  <c r="B2349" i="4"/>
  <c r="F767" i="5"/>
  <c r="I767" i="5" s="1"/>
  <c r="I769" i="5" s="1"/>
  <c r="I772" i="5"/>
  <c r="C771" i="5"/>
  <c r="I765" i="5"/>
  <c r="C764" i="5"/>
  <c r="I757" i="5"/>
  <c r="I749" i="5"/>
  <c r="I741" i="5"/>
  <c r="C756" i="5"/>
  <c r="C748" i="5"/>
  <c r="C740" i="5"/>
  <c r="G2049" i="4"/>
  <c r="H2052" i="4" s="1"/>
  <c r="E2044" i="4"/>
  <c r="G2044" i="4" s="1"/>
  <c r="E2043" i="4"/>
  <c r="G2043" i="4" s="1"/>
  <c r="E2037" i="4"/>
  <c r="G2037" i="4" s="1"/>
  <c r="E2036" i="4"/>
  <c r="G2036" i="4" s="1"/>
  <c r="E2035" i="4"/>
  <c r="G2035" i="4" s="1"/>
  <c r="G2034" i="4"/>
  <c r="H2025" i="4"/>
  <c r="B2025" i="4"/>
  <c r="E331" i="4"/>
  <c r="G331" i="4" s="1"/>
  <c r="H334" i="4" s="1"/>
  <c r="E326" i="4"/>
  <c r="G326" i="4" s="1"/>
  <c r="E325" i="4"/>
  <c r="G325" i="4" s="1"/>
  <c r="H322" i="4"/>
  <c r="H311" i="4"/>
  <c r="B311" i="4"/>
  <c r="F737" i="5"/>
  <c r="I737" i="5" s="1"/>
  <c r="I735" i="5"/>
  <c r="C734" i="5"/>
  <c r="F670" i="5"/>
  <c r="I670" i="5" s="1"/>
  <c r="I672" i="5" s="1"/>
  <c r="E21" i="3" s="1"/>
  <c r="E22" i="6" s="1"/>
  <c r="I668" i="5"/>
  <c r="C667" i="5"/>
  <c r="G170" i="4"/>
  <c r="H172" i="4" s="1"/>
  <c r="E231" i="4"/>
  <c r="G231" i="4" s="1"/>
  <c r="H234" i="4" s="1"/>
  <c r="G181" i="4"/>
  <c r="H184" i="4" s="1"/>
  <c r="G120" i="4"/>
  <c r="H122" i="4" s="1"/>
  <c r="G116" i="4"/>
  <c r="G70" i="4"/>
  <c r="H72" i="4" s="1"/>
  <c r="G66" i="4"/>
  <c r="G65" i="4"/>
  <c r="E226" i="4"/>
  <c r="G226" i="4" s="1"/>
  <c r="E225" i="4"/>
  <c r="G225" i="4" s="1"/>
  <c r="H222" i="4"/>
  <c r="H211" i="4"/>
  <c r="B211" i="4"/>
  <c r="E176" i="4"/>
  <c r="G176" i="4" s="1"/>
  <c r="E175" i="4"/>
  <c r="G175" i="4" s="1"/>
  <c r="H161" i="4"/>
  <c r="B161" i="4"/>
  <c r="G131" i="4"/>
  <c r="H134" i="4" s="1"/>
  <c r="E126" i="4"/>
  <c r="G126" i="4" s="1"/>
  <c r="E125" i="4"/>
  <c r="G125" i="4" s="1"/>
  <c r="H111" i="4"/>
  <c r="B111" i="4"/>
  <c r="G81" i="4"/>
  <c r="H84" i="4" s="1"/>
  <c r="E76" i="4"/>
  <c r="G76" i="4" s="1"/>
  <c r="E75" i="4"/>
  <c r="G75" i="4" s="1"/>
  <c r="H61" i="4"/>
  <c r="B61" i="4"/>
  <c r="F656" i="5"/>
  <c r="I656" i="5" s="1"/>
  <c r="I650" i="5"/>
  <c r="I649" i="5"/>
  <c r="I643" i="5"/>
  <c r="I642" i="5"/>
  <c r="I654" i="5"/>
  <c r="C653" i="5"/>
  <c r="I647" i="5"/>
  <c r="C646" i="5"/>
  <c r="G47" i="3" l="1"/>
  <c r="G45" i="6"/>
  <c r="N45" i="6" s="1"/>
  <c r="H2362" i="4"/>
  <c r="H2368" i="4"/>
  <c r="H2355" i="4"/>
  <c r="F774" i="5"/>
  <c r="I774" i="5" s="1"/>
  <c r="I776" i="5" s="1"/>
  <c r="E69" i="3" s="1"/>
  <c r="H2040" i="4"/>
  <c r="I762" i="5"/>
  <c r="I738" i="5"/>
  <c r="E63" i="3" s="1"/>
  <c r="E59" i="6" s="1"/>
  <c r="I746" i="5"/>
  <c r="I754" i="5"/>
  <c r="H2046" i="4"/>
  <c r="G2029" i="4" s="1"/>
  <c r="H2031" i="4" s="1"/>
  <c r="H328" i="4"/>
  <c r="G315" i="4" s="1"/>
  <c r="H317" i="4" s="1"/>
  <c r="H336" i="4" s="1"/>
  <c r="H178" i="4"/>
  <c r="G165" i="4" s="1"/>
  <c r="H167" i="4" s="1"/>
  <c r="H186" i="4" s="1"/>
  <c r="F18" i="3" s="1"/>
  <c r="F19" i="6" s="1"/>
  <c r="H128" i="4"/>
  <c r="G115" i="4" s="1"/>
  <c r="H117" i="4" s="1"/>
  <c r="H136" i="4" s="1"/>
  <c r="H78" i="4"/>
  <c r="H67" i="4" s="1"/>
  <c r="H86" i="4" s="1"/>
  <c r="H228" i="4"/>
  <c r="G215" i="4" s="1"/>
  <c r="H217" i="4" s="1"/>
  <c r="H236" i="4" s="1"/>
  <c r="I651" i="5"/>
  <c r="E18" i="3" s="1"/>
  <c r="E19" i="6" s="1"/>
  <c r="I658" i="5"/>
  <c r="E19" i="3" l="1"/>
  <c r="E20" i="6" s="1"/>
  <c r="G677" i="5"/>
  <c r="I677" i="5" s="1"/>
  <c r="I679" i="5" s="1"/>
  <c r="E22" i="3" s="1"/>
  <c r="E23" i="6" s="1"/>
  <c r="G19" i="6"/>
  <c r="I19" i="6" s="1"/>
  <c r="F341" i="4"/>
  <c r="F21" i="3"/>
  <c r="F22" i="6" s="1"/>
  <c r="G22" i="6" s="1"/>
  <c r="I22" i="6" s="1"/>
  <c r="H2054" i="4"/>
  <c r="F63" i="3" s="1"/>
  <c r="H2376" i="4"/>
  <c r="F2382" i="4" s="1"/>
  <c r="F2383" i="4" s="1"/>
  <c r="F342" i="4"/>
  <c r="F343" i="4" s="1"/>
  <c r="F340" i="4"/>
  <c r="G18" i="3"/>
  <c r="F241" i="4"/>
  <c r="F19" i="3"/>
  <c r="F20" i="6" s="1"/>
  <c r="F242" i="4"/>
  <c r="F243" i="4" s="1"/>
  <c r="F190" i="4"/>
  <c r="F192" i="4"/>
  <c r="F193" i="4" s="1"/>
  <c r="F191" i="4"/>
  <c r="F91" i="4"/>
  <c r="F16" i="3"/>
  <c r="F17" i="6" s="1"/>
  <c r="F17" i="3"/>
  <c r="F18" i="6" s="1"/>
  <c r="F142" i="4"/>
  <c r="F143" i="4" s="1"/>
  <c r="F140" i="4"/>
  <c r="F141" i="4"/>
  <c r="F92" i="4"/>
  <c r="F93" i="4" s="1"/>
  <c r="F90" i="4"/>
  <c r="F240" i="4"/>
  <c r="G20" i="6" l="1"/>
  <c r="I20" i="6" s="1"/>
  <c r="G21" i="3"/>
  <c r="F21" i="6"/>
  <c r="G21" i="6" s="1"/>
  <c r="I21" i="6" s="1"/>
  <c r="G63" i="3"/>
  <c r="F59" i="6"/>
  <c r="G59" i="6" s="1"/>
  <c r="I59" i="6" s="1"/>
  <c r="G22" i="3"/>
  <c r="G23" i="6"/>
  <c r="I23" i="6" s="1"/>
  <c r="G19" i="3"/>
  <c r="F2381" i="4"/>
  <c r="F69" i="3"/>
  <c r="F2059" i="4"/>
  <c r="F2058" i="4"/>
  <c r="H344" i="4"/>
  <c r="H346" i="4" s="1"/>
  <c r="F2060" i="4"/>
  <c r="F2061" i="4" s="1"/>
  <c r="F2380" i="4"/>
  <c r="H244" i="4"/>
  <c r="H246" i="4" s="1"/>
  <c r="H194" i="4"/>
  <c r="H196" i="4" s="1"/>
  <c r="H144" i="4"/>
  <c r="H146" i="4" s="1"/>
  <c r="H94" i="4"/>
  <c r="H96" i="4" s="1"/>
  <c r="G69" i="3" l="1"/>
  <c r="H2384" i="4"/>
  <c r="H2386" i="4" s="1"/>
  <c r="H2062" i="4"/>
  <c r="H2064" i="4" s="1"/>
  <c r="I633" i="5" l="1"/>
  <c r="I632" i="5"/>
  <c r="I640" i="5"/>
  <c r="C639" i="5"/>
  <c r="I630" i="5"/>
  <c r="C629" i="5"/>
  <c r="E2900" i="4"/>
  <c r="G2900" i="4" s="1"/>
  <c r="E2899" i="4"/>
  <c r="G2899" i="4" s="1"/>
  <c r="G2894" i="4"/>
  <c r="H2896" i="4" s="1"/>
  <c r="G2842" i="4"/>
  <c r="H2883" i="4"/>
  <c r="B2883" i="4"/>
  <c r="H2908" i="4"/>
  <c r="G2889" i="4"/>
  <c r="G2888" i="4"/>
  <c r="H2831" i="4"/>
  <c r="B2831" i="4"/>
  <c r="H2856" i="4"/>
  <c r="I637" i="5" l="1"/>
  <c r="E16" i="3" s="1"/>
  <c r="E17" i="6" s="1"/>
  <c r="G17" i="6" s="1"/>
  <c r="I17" i="6" s="1"/>
  <c r="I822" i="5"/>
  <c r="E80" i="3" s="1"/>
  <c r="I644" i="5"/>
  <c r="E17" i="3" s="1"/>
  <c r="H2902" i="4"/>
  <c r="G2887" i="4" s="1"/>
  <c r="H2844" i="4"/>
  <c r="H2850" i="4"/>
  <c r="G2835" i="4" s="1"/>
  <c r="H2839" i="4" s="1"/>
  <c r="H2891" i="4" l="1"/>
  <c r="H2910" i="4" s="1"/>
  <c r="G17" i="3"/>
  <c r="E18" i="6"/>
  <c r="G18" i="6" s="1"/>
  <c r="I18" i="6" s="1"/>
  <c r="G16" i="3"/>
  <c r="H2858" i="4"/>
  <c r="F80" i="3" l="1"/>
  <c r="F2915" i="4"/>
  <c r="F2914" i="4"/>
  <c r="F2916" i="4"/>
  <c r="F2917" i="4" s="1"/>
  <c r="F2863" i="4"/>
  <c r="F79" i="3"/>
  <c r="F75" i="6" s="1"/>
  <c r="F2862" i="4"/>
  <c r="F2864" i="4"/>
  <c r="F2865" i="4" s="1"/>
  <c r="H2918" i="4" l="1"/>
  <c r="H2920" i="4" s="1"/>
  <c r="G80" i="3"/>
  <c r="H2866" i="4"/>
  <c r="H2868" i="4" s="1"/>
  <c r="E845" i="5" l="1"/>
  <c r="G845" i="5"/>
  <c r="N841" i="5"/>
  <c r="N842" i="5"/>
  <c r="F845" i="5"/>
  <c r="I845" i="5" l="1"/>
  <c r="N840" i="5" s="1"/>
  <c r="G844" i="5" l="1"/>
  <c r="F844" i="5"/>
  <c r="E844" i="5"/>
  <c r="I817" i="5"/>
  <c r="C816" i="5"/>
  <c r="E79" i="3"/>
  <c r="I809" i="5"/>
  <c r="C808" i="5"/>
  <c r="I844" i="5" l="1"/>
  <c r="I848" i="5" s="1"/>
  <c r="G79" i="3"/>
  <c r="E75" i="6"/>
  <c r="G75" i="6" s="1"/>
  <c r="N75" i="6" s="1"/>
  <c r="N839" i="5" l="1"/>
  <c r="N843" i="5" s="1"/>
  <c r="M845" i="5"/>
  <c r="E74" i="6"/>
  <c r="I616" i="5"/>
  <c r="I623" i="5" s="1"/>
  <c r="E78" i="3" s="1"/>
  <c r="E73" i="6" s="1"/>
  <c r="I614" i="5"/>
  <c r="C613" i="5"/>
  <c r="I604" i="5"/>
  <c r="I611" i="5" s="1"/>
  <c r="E76" i="3" s="1"/>
  <c r="E71" i="6" s="1"/>
  <c r="G71" i="6" s="1"/>
  <c r="N71" i="6" s="1"/>
  <c r="I602" i="5"/>
  <c r="C601" i="5"/>
  <c r="I592" i="5"/>
  <c r="I599" i="5" s="1"/>
  <c r="E74" i="3" s="1"/>
  <c r="E69" i="6" s="1"/>
  <c r="I590" i="5"/>
  <c r="C589" i="5"/>
  <c r="I580" i="5"/>
  <c r="I578" i="5"/>
  <c r="C577" i="5"/>
  <c r="G2790" i="4"/>
  <c r="G2789" i="4"/>
  <c r="G2801" i="4"/>
  <c r="H2804" i="4" s="1"/>
  <c r="E2796" i="4"/>
  <c r="G2796" i="4" s="1"/>
  <c r="E2795" i="4"/>
  <c r="G2795" i="4" s="1"/>
  <c r="G2788" i="4"/>
  <c r="G2787" i="4"/>
  <c r="G2786" i="4"/>
  <c r="G2785" i="4"/>
  <c r="H2776" i="4"/>
  <c r="B2776" i="4"/>
  <c r="G2737" i="4"/>
  <c r="G2735" i="4"/>
  <c r="G2736" i="4"/>
  <c r="G2747" i="4"/>
  <c r="H2750" i="4" s="1"/>
  <c r="E2742" i="4"/>
  <c r="G2742" i="4" s="1"/>
  <c r="E2741" i="4"/>
  <c r="G2741" i="4" s="1"/>
  <c r="G2734" i="4"/>
  <c r="G2733" i="4"/>
  <c r="G2732" i="4"/>
  <c r="G2731" i="4"/>
  <c r="H2722" i="4"/>
  <c r="B2722" i="4"/>
  <c r="G2585" i="4"/>
  <c r="H2588" i="4" s="1"/>
  <c r="E2580" i="4"/>
  <c r="G2580" i="4" s="1"/>
  <c r="E2579" i="4"/>
  <c r="G2579" i="4" s="1"/>
  <c r="H2561" i="4"/>
  <c r="B2561" i="4"/>
  <c r="G2532" i="4"/>
  <c r="H2535" i="4" s="1"/>
  <c r="E2527" i="4"/>
  <c r="G2527" i="4" s="1"/>
  <c r="E2526" i="4"/>
  <c r="G2526" i="4" s="1"/>
  <c r="G2521" i="4"/>
  <c r="G2520" i="4"/>
  <c r="G2519" i="4"/>
  <c r="G2518" i="4"/>
  <c r="G2517" i="4"/>
  <c r="H2508" i="4"/>
  <c r="B2508" i="4"/>
  <c r="G2469" i="4"/>
  <c r="G2468" i="4"/>
  <c r="G2467" i="4"/>
  <c r="H2455" i="4"/>
  <c r="B2455" i="4"/>
  <c r="G2479" i="4"/>
  <c r="H2482" i="4" s="1"/>
  <c r="E2474" i="4"/>
  <c r="G2474" i="4" s="1"/>
  <c r="E2473" i="4"/>
  <c r="G2473" i="4" s="1"/>
  <c r="G2466" i="4"/>
  <c r="G2465" i="4"/>
  <c r="G2464" i="4"/>
  <c r="E791" i="4"/>
  <c r="G791" i="4" s="1"/>
  <c r="G790" i="4"/>
  <c r="G789" i="4"/>
  <c r="E788" i="4"/>
  <c r="G788" i="4" s="1"/>
  <c r="E803" i="4"/>
  <c r="G803" i="4" s="1"/>
  <c r="H806" i="4" s="1"/>
  <c r="E798" i="4"/>
  <c r="G798" i="4" s="1"/>
  <c r="E797" i="4"/>
  <c r="G797" i="4" s="1"/>
  <c r="H779" i="4"/>
  <c r="B779" i="4"/>
  <c r="I208" i="5"/>
  <c r="I207" i="5"/>
  <c r="I205" i="5"/>
  <c r="C204" i="5"/>
  <c r="I66" i="5"/>
  <c r="I569" i="5"/>
  <c r="I568" i="5"/>
  <c r="I566" i="5"/>
  <c r="C565" i="5"/>
  <c r="I545" i="5"/>
  <c r="I544" i="5"/>
  <c r="I542" i="5"/>
  <c r="I540" i="5"/>
  <c r="C539" i="5"/>
  <c r="G2306" i="4"/>
  <c r="G2319" i="4"/>
  <c r="H2322" i="4" s="1"/>
  <c r="E2314" i="4"/>
  <c r="G2314" i="4" s="1"/>
  <c r="E2313" i="4"/>
  <c r="G2313" i="4" s="1"/>
  <c r="G2305" i="4"/>
  <c r="G2304" i="4"/>
  <c r="H2295" i="4"/>
  <c r="B2295" i="4"/>
  <c r="I386" i="5"/>
  <c r="I393" i="5" s="1"/>
  <c r="E53" i="3" s="1"/>
  <c r="E51" i="6" s="1"/>
  <c r="I384" i="5"/>
  <c r="C383" i="5"/>
  <c r="I374" i="5"/>
  <c r="I381" i="5" s="1"/>
  <c r="E52" i="3" s="1"/>
  <c r="E50" i="6" s="1"/>
  <c r="I372" i="5"/>
  <c r="C371" i="5"/>
  <c r="I362" i="5"/>
  <c r="I369" i="5" s="1"/>
  <c r="E51" i="3" s="1"/>
  <c r="E49" i="6" s="1"/>
  <c r="I360" i="5"/>
  <c r="C359" i="5"/>
  <c r="I350" i="5"/>
  <c r="I357" i="5" s="1"/>
  <c r="E50" i="3" s="1"/>
  <c r="E48" i="6" s="1"/>
  <c r="I348" i="5"/>
  <c r="C347" i="5"/>
  <c r="I339" i="5"/>
  <c r="I338" i="5"/>
  <c r="I336" i="5"/>
  <c r="C335" i="5"/>
  <c r="H1695" i="4"/>
  <c r="B1695" i="4"/>
  <c r="H1585" i="4"/>
  <c r="B1585" i="4"/>
  <c r="G1216" i="4"/>
  <c r="G1232" i="4"/>
  <c r="H1235" i="4" s="1"/>
  <c r="E1227" i="4"/>
  <c r="G1227" i="4" s="1"/>
  <c r="E1226" i="4"/>
  <c r="G1226" i="4" s="1"/>
  <c r="G1219" i="4"/>
  <c r="G1218" i="4"/>
  <c r="G1217" i="4"/>
  <c r="H1207" i="4"/>
  <c r="B1207" i="4"/>
  <c r="E738" i="4"/>
  <c r="G738" i="4" s="1"/>
  <c r="I516" i="5"/>
  <c r="C515" i="5"/>
  <c r="I492" i="5"/>
  <c r="C491" i="5"/>
  <c r="I468" i="5"/>
  <c r="C467" i="5"/>
  <c r="I443" i="5"/>
  <c r="C442" i="5"/>
  <c r="F140" i="5"/>
  <c r="I140" i="5" s="1"/>
  <c r="F139" i="5"/>
  <c r="I139" i="5" s="1"/>
  <c r="I85" i="5"/>
  <c r="I84" i="5"/>
  <c r="I421" i="5"/>
  <c r="I419" i="5"/>
  <c r="C418" i="5"/>
  <c r="I410" i="5"/>
  <c r="I408" i="5"/>
  <c r="C407" i="5"/>
  <c r="I290" i="5"/>
  <c r="I288" i="5"/>
  <c r="C287" i="5"/>
  <c r="I279" i="5"/>
  <c r="I278" i="5"/>
  <c r="I276" i="5"/>
  <c r="C275" i="5"/>
  <c r="G1112" i="4"/>
  <c r="G1165" i="4"/>
  <c r="G1164" i="4"/>
  <c r="G1163" i="4"/>
  <c r="G1162" i="4"/>
  <c r="G1161" i="4"/>
  <c r="G1111" i="4"/>
  <c r="G1110" i="4"/>
  <c r="E1177" i="4"/>
  <c r="G1177" i="4" s="1"/>
  <c r="H1180" i="4" s="1"/>
  <c r="E1172" i="4"/>
  <c r="G1172" i="4" s="1"/>
  <c r="E1171" i="4"/>
  <c r="G1171" i="4" s="1"/>
  <c r="N1160" i="4"/>
  <c r="N1159" i="4"/>
  <c r="N1158" i="4"/>
  <c r="O1158" i="4" s="1"/>
  <c r="N1157" i="4"/>
  <c r="H1152" i="4"/>
  <c r="B1152" i="4"/>
  <c r="E1123" i="4"/>
  <c r="G1123" i="4" s="1"/>
  <c r="H1126" i="4" s="1"/>
  <c r="E1118" i="4"/>
  <c r="G1118" i="4" s="1"/>
  <c r="E1117" i="4"/>
  <c r="G1117" i="4" s="1"/>
  <c r="G1109" i="4"/>
  <c r="G1108" i="4"/>
  <c r="G1107" i="4"/>
  <c r="N1106" i="4"/>
  <c r="N1105" i="4"/>
  <c r="N1104" i="4"/>
  <c r="O1104" i="4" s="1"/>
  <c r="N1103" i="4"/>
  <c r="H1098" i="4"/>
  <c r="B1098" i="4"/>
  <c r="I266" i="5"/>
  <c r="I273" i="5" s="1"/>
  <c r="E41" i="3" s="1"/>
  <c r="E39" i="6" s="1"/>
  <c r="I264" i="5"/>
  <c r="C263" i="5"/>
  <c r="I254" i="5"/>
  <c r="I261" i="5" s="1"/>
  <c r="I252" i="5"/>
  <c r="C251" i="5"/>
  <c r="I242" i="5"/>
  <c r="I249" i="5" s="1"/>
  <c r="E39" i="3" s="1"/>
  <c r="I240" i="5"/>
  <c r="C239" i="5"/>
  <c r="I230" i="5"/>
  <c r="I228" i="5"/>
  <c r="C227" i="5"/>
  <c r="I218" i="5"/>
  <c r="I216" i="5"/>
  <c r="C215" i="5"/>
  <c r="I186" i="5"/>
  <c r="I202" i="5" s="1"/>
  <c r="I184" i="5"/>
  <c r="C183" i="5"/>
  <c r="F173" i="5"/>
  <c r="I173" i="5" s="1"/>
  <c r="F171" i="5"/>
  <c r="F169" i="5"/>
  <c r="I169" i="5" s="1"/>
  <c r="F167" i="5"/>
  <c r="I167" i="5" s="1"/>
  <c r="F165" i="5"/>
  <c r="I165" i="5" s="1"/>
  <c r="F163" i="5"/>
  <c r="I163" i="5" s="1"/>
  <c r="F161" i="5"/>
  <c r="I161" i="5" s="1"/>
  <c r="F159" i="5"/>
  <c r="I159" i="5" s="1"/>
  <c r="F153" i="5"/>
  <c r="F145" i="5"/>
  <c r="F144" i="5"/>
  <c r="F143" i="5"/>
  <c r="I143" i="5" s="1"/>
  <c r="F142" i="5"/>
  <c r="I142" i="5" s="1"/>
  <c r="F141" i="5"/>
  <c r="I141" i="5" s="1"/>
  <c r="F126" i="5"/>
  <c r="F125" i="5"/>
  <c r="F124" i="5"/>
  <c r="F123" i="5"/>
  <c r="I123" i="5" s="1"/>
  <c r="F122" i="5"/>
  <c r="I122" i="5" s="1"/>
  <c r="F121" i="5"/>
  <c r="I121" i="5" s="1"/>
  <c r="F120" i="5"/>
  <c r="I120" i="5" s="1"/>
  <c r="F119" i="5"/>
  <c r="I119" i="5" s="1"/>
  <c r="I117" i="5"/>
  <c r="C116" i="5"/>
  <c r="I108" i="5"/>
  <c r="I107" i="5"/>
  <c r="I106" i="5"/>
  <c r="I105" i="5"/>
  <c r="I104" i="5"/>
  <c r="I87" i="5"/>
  <c r="I86" i="5"/>
  <c r="I63" i="5"/>
  <c r="I62" i="5"/>
  <c r="I65" i="5"/>
  <c r="I64" i="5"/>
  <c r="I32" i="5"/>
  <c r="I31" i="5"/>
  <c r="I19" i="5"/>
  <c r="I24" i="5" s="1"/>
  <c r="E1983" i="4"/>
  <c r="G1983" i="4" s="1"/>
  <c r="E1982" i="4"/>
  <c r="E1981" i="4"/>
  <c r="G1826" i="4"/>
  <c r="E1057" i="4"/>
  <c r="G1057" i="4" s="1"/>
  <c r="E1055" i="4"/>
  <c r="E1056" i="4"/>
  <c r="E1054" i="4"/>
  <c r="E1053" i="4"/>
  <c r="N1052" i="4"/>
  <c r="N1051" i="4"/>
  <c r="N1050" i="4"/>
  <c r="O1050" i="4" s="1"/>
  <c r="N1049" i="4"/>
  <c r="G1015" i="4"/>
  <c r="H1018" i="4" s="1"/>
  <c r="E1010" i="4"/>
  <c r="G1010" i="4" s="1"/>
  <c r="E1009" i="4"/>
  <c r="G1009" i="4" s="1"/>
  <c r="G1005" i="4"/>
  <c r="G1004" i="4"/>
  <c r="G1003" i="4"/>
  <c r="G1002" i="4"/>
  <c r="G1001" i="4"/>
  <c r="G1000" i="4"/>
  <c r="H991" i="4"/>
  <c r="B991" i="4"/>
  <c r="G947" i="4"/>
  <c r="G962" i="4"/>
  <c r="H965" i="4" s="1"/>
  <c r="E957" i="4"/>
  <c r="G957" i="4" s="1"/>
  <c r="E956" i="4"/>
  <c r="G956" i="4" s="1"/>
  <c r="G952" i="4"/>
  <c r="G951" i="4"/>
  <c r="G950" i="4"/>
  <c r="G949" i="4"/>
  <c r="G948" i="4"/>
  <c r="H938" i="4"/>
  <c r="B938" i="4"/>
  <c r="G894" i="4"/>
  <c r="G899" i="4"/>
  <c r="G898" i="4"/>
  <c r="G897" i="4"/>
  <c r="G896" i="4"/>
  <c r="G895" i="4"/>
  <c r="G846" i="4"/>
  <c r="E737" i="4"/>
  <c r="G737" i="4" s="1"/>
  <c r="E736" i="4"/>
  <c r="G736" i="4" s="1"/>
  <c r="E735" i="4"/>
  <c r="G735" i="4" s="1"/>
  <c r="E632" i="4"/>
  <c r="E631" i="4"/>
  <c r="E630" i="4"/>
  <c r="E629" i="4"/>
  <c r="E579" i="4"/>
  <c r="E578" i="4"/>
  <c r="E577" i="4"/>
  <c r="E576" i="4"/>
  <c r="K577" i="4"/>
  <c r="E524" i="4"/>
  <c r="E525" i="4"/>
  <c r="E526" i="4"/>
  <c r="E527" i="4"/>
  <c r="G22" i="4"/>
  <c r="G21" i="4"/>
  <c r="G20" i="4"/>
  <c r="E750" i="4"/>
  <c r="G750" i="4" s="1"/>
  <c r="H753" i="4" s="1"/>
  <c r="E745" i="4"/>
  <c r="G745" i="4" s="1"/>
  <c r="E744" i="4"/>
  <c r="G744" i="4" s="1"/>
  <c r="H726" i="4"/>
  <c r="B726" i="4"/>
  <c r="G1817" i="4"/>
  <c r="G1816" i="4"/>
  <c r="G625" i="4"/>
  <c r="G572" i="4"/>
  <c r="G520" i="4"/>
  <c r="I237" i="5" l="1"/>
  <c r="E38" i="3" s="1"/>
  <c r="E36" i="6" s="1"/>
  <c r="I79" i="5"/>
  <c r="E29" i="3" s="1"/>
  <c r="I114" i="5"/>
  <c r="E31" i="3" s="1"/>
  <c r="E30" i="6" s="1"/>
  <c r="I99" i="5"/>
  <c r="I465" i="5"/>
  <c r="E62" i="3" s="1"/>
  <c r="E58" i="6" s="1"/>
  <c r="I171" i="5"/>
  <c r="I416" i="5"/>
  <c r="E57" i="3" s="1"/>
  <c r="E54" i="6" s="1"/>
  <c r="E40" i="3"/>
  <c r="E38" i="6" s="1"/>
  <c r="E37" i="6"/>
  <c r="H2738" i="4"/>
  <c r="I587" i="5"/>
  <c r="E73" i="3" s="1"/>
  <c r="E68" i="6" s="1"/>
  <c r="H2798" i="4"/>
  <c r="G2780" i="4" s="1"/>
  <c r="H2782" i="4" s="1"/>
  <c r="H2792" i="4"/>
  <c r="H2744" i="4"/>
  <c r="G2726" i="4" s="1"/>
  <c r="H2728" i="4" s="1"/>
  <c r="H2470" i="4"/>
  <c r="H2576" i="4"/>
  <c r="H2582" i="4"/>
  <c r="G2565" i="4" s="1"/>
  <c r="H2567" i="4" s="1"/>
  <c r="H2523" i="4"/>
  <c r="H2529" i="4"/>
  <c r="G2512" i="4" s="1"/>
  <c r="H2514" i="4" s="1"/>
  <c r="H2476" i="4"/>
  <c r="G2459" i="4" s="1"/>
  <c r="H2461" i="4" s="1"/>
  <c r="H800" i="4"/>
  <c r="G783" i="4" s="1"/>
  <c r="H785" i="4" s="1"/>
  <c r="H794" i="4"/>
  <c r="I213" i="5"/>
  <c r="E34" i="3" s="1"/>
  <c r="E33" i="6" s="1"/>
  <c r="I575" i="5"/>
  <c r="E70" i="3" s="1"/>
  <c r="I550" i="5"/>
  <c r="E68" i="3" s="1"/>
  <c r="H2316" i="4"/>
  <c r="G2299" i="4" s="1"/>
  <c r="H2301" i="4" s="1"/>
  <c r="H2310" i="4"/>
  <c r="I345" i="5"/>
  <c r="E49" i="3" s="1"/>
  <c r="E47" i="6" s="1"/>
  <c r="I537" i="5"/>
  <c r="E67" i="3" s="1"/>
  <c r="N1161" i="4"/>
  <c r="H1229" i="4"/>
  <c r="G1211" i="4" s="1"/>
  <c r="H1213" i="4" s="1"/>
  <c r="H1223" i="4"/>
  <c r="I513" i="5"/>
  <c r="E66" i="3" s="1"/>
  <c r="I489" i="5"/>
  <c r="I428" i="5"/>
  <c r="E58" i="3" s="1"/>
  <c r="E55" i="6" s="1"/>
  <c r="I285" i="5"/>
  <c r="E42" i="3" s="1"/>
  <c r="E40" i="6" s="1"/>
  <c r="I297" i="5"/>
  <c r="E43" i="3" s="1"/>
  <c r="E41" i="6" s="1"/>
  <c r="H1174" i="4"/>
  <c r="G1156" i="4" s="1"/>
  <c r="H1158" i="4" s="1"/>
  <c r="H1168" i="4"/>
  <c r="N1053" i="4"/>
  <c r="N1107" i="4"/>
  <c r="H1114" i="4"/>
  <c r="H1120" i="4"/>
  <c r="G1102" i="4" s="1"/>
  <c r="H1104" i="4" s="1"/>
  <c r="H1006" i="4"/>
  <c r="H1012" i="4"/>
  <c r="G995" i="4" s="1"/>
  <c r="H997" i="4" s="1"/>
  <c r="I125" i="5"/>
  <c r="I145" i="5"/>
  <c r="E33" i="3"/>
  <c r="E32" i="6" s="1"/>
  <c r="I126" i="5"/>
  <c r="I225" i="5"/>
  <c r="E37" i="3" s="1"/>
  <c r="I153" i="5"/>
  <c r="I144" i="5"/>
  <c r="I124" i="5"/>
  <c r="H953" i="4"/>
  <c r="H959" i="4"/>
  <c r="G942" i="4" s="1"/>
  <c r="H944" i="4" s="1"/>
  <c r="H741" i="4"/>
  <c r="H747" i="4"/>
  <c r="G730" i="4" s="1"/>
  <c r="H732" i="4" s="1"/>
  <c r="G524" i="4"/>
  <c r="I181" i="5" l="1"/>
  <c r="E32" i="3" s="1"/>
  <c r="E31" i="6" s="1"/>
  <c r="H2484" i="4"/>
  <c r="E60" i="6"/>
  <c r="E65" i="3"/>
  <c r="E61" i="6" s="1"/>
  <c r="E65" i="6"/>
  <c r="E66" i="6"/>
  <c r="E62" i="6"/>
  <c r="E63" i="6"/>
  <c r="E64" i="6"/>
  <c r="E35" i="6"/>
  <c r="F73" i="3"/>
  <c r="F68" i="6" s="1"/>
  <c r="G68" i="6" s="1"/>
  <c r="N68" i="6" s="1"/>
  <c r="H2806" i="4"/>
  <c r="H2752" i="4"/>
  <c r="F78" i="3" s="1"/>
  <c r="F73" i="6" s="1"/>
  <c r="G73" i="6" s="1"/>
  <c r="N73" i="6" s="1"/>
  <c r="H2590" i="4"/>
  <c r="F75" i="3" s="1"/>
  <c r="H2537" i="4"/>
  <c r="H808" i="4"/>
  <c r="H2324" i="4"/>
  <c r="H1237" i="4"/>
  <c r="F44" i="3" s="1"/>
  <c r="H1182" i="4"/>
  <c r="H967" i="4"/>
  <c r="F39" i="3" s="1"/>
  <c r="H1020" i="4"/>
  <c r="F1025" i="4" s="1"/>
  <c r="H1128" i="4"/>
  <c r="F42" i="3" s="1"/>
  <c r="H755" i="4"/>
  <c r="F33" i="3" s="1"/>
  <c r="G2266" i="4"/>
  <c r="H2269" i="4" s="1"/>
  <c r="E2261" i="4"/>
  <c r="G2261" i="4" s="1"/>
  <c r="E2260" i="4"/>
  <c r="G2260" i="4" s="1"/>
  <c r="G2252" i="4"/>
  <c r="G2251" i="4"/>
  <c r="H2242" i="4"/>
  <c r="B2242" i="4"/>
  <c r="G2213" i="4"/>
  <c r="H2216" i="4" s="1"/>
  <c r="E2208" i="4"/>
  <c r="G2208" i="4" s="1"/>
  <c r="E2207" i="4"/>
  <c r="G2207" i="4" s="1"/>
  <c r="G2199" i="4"/>
  <c r="G2198" i="4"/>
  <c r="H2189" i="4"/>
  <c r="B2189" i="4"/>
  <c r="G1995" i="4"/>
  <c r="H1998" i="4" s="1"/>
  <c r="E1990" i="4"/>
  <c r="G1990" i="4" s="1"/>
  <c r="E1989" i="4"/>
  <c r="G1989" i="4" s="1"/>
  <c r="G1982" i="4"/>
  <c r="G1981" i="4"/>
  <c r="G1980" i="4"/>
  <c r="H1971" i="4"/>
  <c r="B1971" i="4"/>
  <c r="E1889" i="4"/>
  <c r="G1889" i="4" s="1"/>
  <c r="H1892" i="4" s="1"/>
  <c r="E1884" i="4"/>
  <c r="G1884" i="4" s="1"/>
  <c r="E1883" i="4"/>
  <c r="G1883" i="4" s="1"/>
  <c r="G1875" i="4"/>
  <c r="G1874" i="4"/>
  <c r="H1865" i="4"/>
  <c r="B1865" i="4"/>
  <c r="G1836" i="4"/>
  <c r="H1839" i="4" s="1"/>
  <c r="E1831" i="4"/>
  <c r="G1831" i="4" s="1"/>
  <c r="E1830" i="4"/>
  <c r="G1830" i="4" s="1"/>
  <c r="G1825" i="4"/>
  <c r="G1824" i="4"/>
  <c r="G1823" i="4"/>
  <c r="G1822" i="4"/>
  <c r="G1821" i="4"/>
  <c r="H1811" i="4"/>
  <c r="B1811" i="4"/>
  <c r="E1069" i="4"/>
  <c r="G1069" i="4" s="1"/>
  <c r="H1072" i="4" s="1"/>
  <c r="E1064" i="4"/>
  <c r="G1064" i="4" s="1"/>
  <c r="E1063" i="4"/>
  <c r="G1063" i="4" s="1"/>
  <c r="G1056" i="4"/>
  <c r="G1055" i="4"/>
  <c r="G1054" i="4"/>
  <c r="G1053" i="4"/>
  <c r="H1044" i="4"/>
  <c r="B1044" i="4"/>
  <c r="G909" i="4"/>
  <c r="H912" i="4" s="1"/>
  <c r="E904" i="4"/>
  <c r="G904" i="4" s="1"/>
  <c r="E903" i="4"/>
  <c r="G903" i="4" s="1"/>
  <c r="H885" i="4"/>
  <c r="B885" i="4"/>
  <c r="G856" i="4"/>
  <c r="H859" i="4" s="1"/>
  <c r="E851" i="4"/>
  <c r="G851" i="4" s="1"/>
  <c r="E850" i="4"/>
  <c r="G850" i="4" s="1"/>
  <c r="G845" i="4"/>
  <c r="G844" i="4"/>
  <c r="G843" i="4"/>
  <c r="G842" i="4"/>
  <c r="G841" i="4"/>
  <c r="H832" i="4"/>
  <c r="B832" i="4"/>
  <c r="E697" i="4"/>
  <c r="G697" i="4" s="1"/>
  <c r="H700" i="4" s="1"/>
  <c r="E692" i="4"/>
  <c r="G692" i="4" s="1"/>
  <c r="E691" i="4"/>
  <c r="G691" i="4" s="1"/>
  <c r="G683" i="4"/>
  <c r="G682" i="4"/>
  <c r="H673" i="4"/>
  <c r="B673" i="4"/>
  <c r="E644" i="4"/>
  <c r="G644" i="4" s="1"/>
  <c r="H647" i="4" s="1"/>
  <c r="E639" i="4"/>
  <c r="G639" i="4" s="1"/>
  <c r="E638" i="4"/>
  <c r="G638" i="4" s="1"/>
  <c r="G633" i="4"/>
  <c r="G632" i="4"/>
  <c r="G631" i="4"/>
  <c r="G630" i="4"/>
  <c r="G629" i="4"/>
  <c r="H620" i="4"/>
  <c r="B620" i="4"/>
  <c r="E591" i="4"/>
  <c r="G591" i="4" s="1"/>
  <c r="H594" i="4" s="1"/>
  <c r="E586" i="4"/>
  <c r="G586" i="4" s="1"/>
  <c r="E585" i="4"/>
  <c r="G585" i="4" s="1"/>
  <c r="G580" i="4"/>
  <c r="G579" i="4"/>
  <c r="G578" i="4"/>
  <c r="G577" i="4"/>
  <c r="G576" i="4"/>
  <c r="H567" i="4"/>
  <c r="B567" i="4"/>
  <c r="E433" i="4"/>
  <c r="G433" i="4" s="1"/>
  <c r="H436" i="4" s="1"/>
  <c r="E428" i="4"/>
  <c r="G428" i="4" s="1"/>
  <c r="E427" i="4"/>
  <c r="G427" i="4" s="1"/>
  <c r="H411" i="4"/>
  <c r="B411" i="4"/>
  <c r="G33" i="3" l="1"/>
  <c r="F32" i="6"/>
  <c r="G32" i="6" s="1"/>
  <c r="I32" i="6" s="1"/>
  <c r="G39" i="3"/>
  <c r="F37" i="6"/>
  <c r="G37" i="6" s="1"/>
  <c r="J37" i="6" s="1"/>
  <c r="G52" i="3"/>
  <c r="F50" i="6"/>
  <c r="G50" i="6" s="1"/>
  <c r="M50" i="6" s="1"/>
  <c r="G75" i="3"/>
  <c r="F70" i="6"/>
  <c r="G70" i="6" s="1"/>
  <c r="N70" i="6" s="1"/>
  <c r="G53" i="3"/>
  <c r="F51" i="6"/>
  <c r="G51" i="6" s="1"/>
  <c r="M51" i="6" s="1"/>
  <c r="G42" i="3"/>
  <c r="F40" i="6"/>
  <c r="G40" i="6" s="1"/>
  <c r="K40" i="6" s="1"/>
  <c r="G44" i="3"/>
  <c r="F42" i="6"/>
  <c r="G42" i="6" s="1"/>
  <c r="N42" i="6" s="1"/>
  <c r="F2490" i="4"/>
  <c r="F2491" i="4" s="1"/>
  <c r="F2489" i="4"/>
  <c r="F2488" i="4"/>
  <c r="F2812" i="4"/>
  <c r="F2813" i="4" s="1"/>
  <c r="F2811" i="4"/>
  <c r="F2810" i="4"/>
  <c r="F2758" i="4"/>
  <c r="F2759" i="4" s="1"/>
  <c r="F2756" i="4"/>
  <c r="F2757" i="4"/>
  <c r="F2542" i="4"/>
  <c r="F74" i="3"/>
  <c r="F69" i="6" s="1"/>
  <c r="G69" i="6" s="1"/>
  <c r="N69" i="6" s="1"/>
  <c r="F2594" i="4"/>
  <c r="F2595" i="4"/>
  <c r="F2596" i="4"/>
  <c r="F2597" i="4" s="1"/>
  <c r="F2543" i="4"/>
  <c r="F2544" i="4" s="1"/>
  <c r="F2541" i="4"/>
  <c r="F814" i="4"/>
  <c r="F815" i="4" s="1"/>
  <c r="F34" i="3"/>
  <c r="F812" i="4"/>
  <c r="F813" i="4"/>
  <c r="F66" i="6"/>
  <c r="G66" i="6" s="1"/>
  <c r="M66" i="6" s="1"/>
  <c r="F2329" i="4"/>
  <c r="F68" i="3"/>
  <c r="F64" i="6" s="1"/>
  <c r="G64" i="6" s="1"/>
  <c r="F2330" i="4"/>
  <c r="F2331" i="4" s="1"/>
  <c r="F2328" i="4"/>
  <c r="F51" i="3"/>
  <c r="F1620" i="4"/>
  <c r="F1619" i="4"/>
  <c r="F1621" i="4"/>
  <c r="F1622" i="4" s="1"/>
  <c r="F1243" i="4"/>
  <c r="F1244" i="4" s="1"/>
  <c r="F973" i="4"/>
  <c r="F974" i="4" s="1"/>
  <c r="F972" i="4"/>
  <c r="F1242" i="4"/>
  <c r="F1241" i="4"/>
  <c r="F1188" i="4"/>
  <c r="F1189" i="4" s="1"/>
  <c r="F43" i="3"/>
  <c r="F971" i="4"/>
  <c r="F1024" i="4"/>
  <c r="F40" i="3"/>
  <c r="F1026" i="4"/>
  <c r="F1027" i="4" s="1"/>
  <c r="F1186" i="4"/>
  <c r="F1187" i="4"/>
  <c r="F1134" i="4"/>
  <c r="F1135" i="4" s="1"/>
  <c r="F1133" i="4"/>
  <c r="F1132" i="4"/>
  <c r="F761" i="4"/>
  <c r="F762" i="4" s="1"/>
  <c r="F760" i="4"/>
  <c r="F759" i="4"/>
  <c r="H1827" i="4"/>
  <c r="H1060" i="4"/>
  <c r="H2257" i="4"/>
  <c r="H1880" i="4"/>
  <c r="H2204" i="4"/>
  <c r="H688" i="4"/>
  <c r="H1886" i="4"/>
  <c r="G1869" i="4" s="1"/>
  <c r="H1871" i="4" s="1"/>
  <c r="H1986" i="4"/>
  <c r="H853" i="4"/>
  <c r="G836" i="4" s="1"/>
  <c r="H838" i="4" s="1"/>
  <c r="H588" i="4"/>
  <c r="G571" i="4" s="1"/>
  <c r="H573" i="4" s="1"/>
  <c r="H900" i="4"/>
  <c r="H2210" i="4"/>
  <c r="G2193" i="4" s="1"/>
  <c r="H2195" i="4" s="1"/>
  <c r="H1066" i="4"/>
  <c r="G1048" i="4" s="1"/>
  <c r="H1050" i="4" s="1"/>
  <c r="H2263" i="4"/>
  <c r="G2246" i="4" s="1"/>
  <c r="H2248" i="4" s="1"/>
  <c r="H1833" i="4"/>
  <c r="G1815" i="4" s="1"/>
  <c r="H1818" i="4" s="1"/>
  <c r="H847" i="4"/>
  <c r="H582" i="4"/>
  <c r="H635" i="4"/>
  <c r="H1992" i="4"/>
  <c r="G1975" i="4" s="1"/>
  <c r="H1977" i="4" s="1"/>
  <c r="H906" i="4"/>
  <c r="G889" i="4" s="1"/>
  <c r="H891" i="4" s="1"/>
  <c r="H694" i="4"/>
  <c r="G677" i="4" s="1"/>
  <c r="H679" i="4" s="1"/>
  <c r="H641" i="4"/>
  <c r="G624" i="4" s="1"/>
  <c r="H626" i="4" s="1"/>
  <c r="H424" i="4"/>
  <c r="H430" i="4"/>
  <c r="G415" i="4" s="1"/>
  <c r="H417" i="4" s="1"/>
  <c r="A8" i="4"/>
  <c r="I30" i="5"/>
  <c r="A20" i="9"/>
  <c r="D28" i="6"/>
  <c r="B28" i="6"/>
  <c r="D26" i="6"/>
  <c r="B26" i="6"/>
  <c r="D25" i="6"/>
  <c r="B25" i="6"/>
  <c r="B16" i="6"/>
  <c r="B27" i="6"/>
  <c r="I102" i="5"/>
  <c r="C101" i="5"/>
  <c r="I82" i="5"/>
  <c r="C81" i="5"/>
  <c r="I60" i="5"/>
  <c r="C59" i="5"/>
  <c r="I51" i="5"/>
  <c r="I57" i="5" s="1"/>
  <c r="G525" i="4"/>
  <c r="E538" i="4"/>
  <c r="G538" i="4" s="1"/>
  <c r="H541" i="4" s="1"/>
  <c r="E533" i="4"/>
  <c r="G533" i="4" s="1"/>
  <c r="E532" i="4"/>
  <c r="G532" i="4" s="1"/>
  <c r="G527" i="4"/>
  <c r="G526" i="4"/>
  <c r="H515" i="4"/>
  <c r="B515" i="4"/>
  <c r="H462" i="4"/>
  <c r="B462" i="4"/>
  <c r="H11" i="4"/>
  <c r="B11" i="4"/>
  <c r="M64" i="6" l="1"/>
  <c r="L64" i="6"/>
  <c r="G43" i="3"/>
  <c r="F41" i="6"/>
  <c r="G41" i="6" s="1"/>
  <c r="K41" i="6" s="1"/>
  <c r="G49" i="3"/>
  <c r="F47" i="6"/>
  <c r="G47" i="6" s="1"/>
  <c r="M47" i="6" s="1"/>
  <c r="G50" i="3"/>
  <c r="F48" i="6"/>
  <c r="G48" i="6" s="1"/>
  <c r="M48" i="6" s="1"/>
  <c r="G51" i="3"/>
  <c r="F49" i="6"/>
  <c r="G49" i="6" s="1"/>
  <c r="M49" i="6" s="1"/>
  <c r="G68" i="3"/>
  <c r="G70" i="3"/>
  <c r="F65" i="6"/>
  <c r="G65" i="6" s="1"/>
  <c r="M65" i="6" s="1"/>
  <c r="G34" i="3"/>
  <c r="F33" i="6"/>
  <c r="G33" i="6" s="1"/>
  <c r="K33" i="6" s="1"/>
  <c r="F74" i="6"/>
  <c r="G74" i="6" s="1"/>
  <c r="N74" i="6" s="1"/>
  <c r="G40" i="3"/>
  <c r="F38" i="6"/>
  <c r="G38" i="6" s="1"/>
  <c r="J38" i="6" s="1"/>
  <c r="H2492" i="4"/>
  <c r="H2494" i="4" s="1"/>
  <c r="H2814" i="4"/>
  <c r="H2816" i="4" s="1"/>
  <c r="H2760" i="4"/>
  <c r="H2762" i="4" s="1"/>
  <c r="H816" i="4"/>
  <c r="H818" i="4" s="1"/>
  <c r="H2598" i="4"/>
  <c r="H2600" i="4" s="1"/>
  <c r="H2545" i="4"/>
  <c r="H2547" i="4" s="1"/>
  <c r="H2332" i="4"/>
  <c r="H2334" i="4" s="1"/>
  <c r="H1245" i="4"/>
  <c r="H1247" i="4" s="1"/>
  <c r="H975" i="4"/>
  <c r="H977" i="4" s="1"/>
  <c r="H1623" i="4"/>
  <c r="H1625" i="4" s="1"/>
  <c r="H1028" i="4"/>
  <c r="H1030" i="4" s="1"/>
  <c r="H1190" i="4"/>
  <c r="H1192" i="4" s="1"/>
  <c r="H1136" i="4"/>
  <c r="H1138" i="4" s="1"/>
  <c r="H763" i="4"/>
  <c r="H765" i="4" s="1"/>
  <c r="H1074" i="4"/>
  <c r="H702" i="4"/>
  <c r="F32" i="3" s="1"/>
  <c r="H2271" i="4"/>
  <c r="H2218" i="4"/>
  <c r="F60" i="6" s="1"/>
  <c r="G60" i="6" s="1"/>
  <c r="I60" i="6" s="1"/>
  <c r="H1894" i="4"/>
  <c r="H596" i="4"/>
  <c r="H861" i="4"/>
  <c r="H649" i="4"/>
  <c r="F654" i="4" s="1"/>
  <c r="H1841" i="4"/>
  <c r="H914" i="4"/>
  <c r="H2000" i="4"/>
  <c r="H438" i="4"/>
  <c r="F25" i="3" s="1"/>
  <c r="E30" i="3"/>
  <c r="H535" i="4"/>
  <c r="G519" i="4" s="1"/>
  <c r="H521" i="4" s="1"/>
  <c r="H529" i="4"/>
  <c r="A8" i="9"/>
  <c r="J51" i="9"/>
  <c r="J50" i="9"/>
  <c r="J49" i="9"/>
  <c r="F44" i="9"/>
  <c r="F51" i="9" s="1"/>
  <c r="F39" i="9"/>
  <c r="F50" i="9" s="1"/>
  <c r="B20" i="9"/>
  <c r="E20" i="9" s="1"/>
  <c r="E6" i="9"/>
  <c r="B8" i="8"/>
  <c r="G13" i="8"/>
  <c r="G30" i="8" s="1"/>
  <c r="G32" i="8" s="1"/>
  <c r="G33" i="8" s="1"/>
  <c r="B24" i="6"/>
  <c r="B15" i="6"/>
  <c r="A8" i="6"/>
  <c r="G32" i="3" l="1"/>
  <c r="F31" i="6"/>
  <c r="G31" i="6" s="1"/>
  <c r="E29" i="6"/>
  <c r="F2275" i="4"/>
  <c r="F67" i="3"/>
  <c r="F63" i="6" s="1"/>
  <c r="G63" i="6" s="1"/>
  <c r="M63" i="6" s="1"/>
  <c r="F1079" i="4"/>
  <c r="F41" i="3"/>
  <c r="F1900" i="4"/>
  <c r="F1901" i="4" s="1"/>
  <c r="F58" i="3"/>
  <c r="F2224" i="4"/>
  <c r="F2225" i="4" s="1"/>
  <c r="F66" i="3"/>
  <c r="F2276" i="4"/>
  <c r="F2277" i="4"/>
  <c r="F2278" i="4" s="1"/>
  <c r="F2004" i="4"/>
  <c r="F62" i="3"/>
  <c r="F1846" i="4"/>
  <c r="F57" i="3"/>
  <c r="F1080" i="4"/>
  <c r="F1081" i="4" s="1"/>
  <c r="F1078" i="4"/>
  <c r="F2223" i="4"/>
  <c r="F920" i="4"/>
  <c r="F921" i="4" s="1"/>
  <c r="F38" i="3"/>
  <c r="F867" i="4"/>
  <c r="F868" i="4" s="1"/>
  <c r="F37" i="3"/>
  <c r="F707" i="4"/>
  <c r="F708" i="4"/>
  <c r="F709" i="4" s="1"/>
  <c r="F706" i="4"/>
  <c r="F2222" i="4"/>
  <c r="F601" i="4"/>
  <c r="F30" i="3"/>
  <c r="F29" i="6" s="1"/>
  <c r="F655" i="4"/>
  <c r="F656" i="4" s="1"/>
  <c r="F31" i="3"/>
  <c r="F653" i="4"/>
  <c r="F865" i="4"/>
  <c r="F866" i="4"/>
  <c r="F600" i="4"/>
  <c r="F602" i="4"/>
  <c r="F603" i="4" s="1"/>
  <c r="F1899" i="4"/>
  <c r="F1898" i="4"/>
  <c r="F918" i="4"/>
  <c r="F919" i="4"/>
  <c r="F2005" i="4"/>
  <c r="F2006" i="4"/>
  <c r="F2007" i="4" s="1"/>
  <c r="F1847" i="4"/>
  <c r="F1848" i="4" s="1"/>
  <c r="F1845" i="4"/>
  <c r="F443" i="4"/>
  <c r="F442" i="4"/>
  <c r="F444" i="4"/>
  <c r="F445" i="4" s="1"/>
  <c r="H543" i="4"/>
  <c r="F29" i="3" s="1"/>
  <c r="I31" i="6" l="1"/>
  <c r="J31" i="6"/>
  <c r="G29" i="6"/>
  <c r="M29" i="6" s="1"/>
  <c r="G62" i="3"/>
  <c r="F58" i="6"/>
  <c r="G58" i="6" s="1"/>
  <c r="G58" i="3"/>
  <c r="F55" i="6"/>
  <c r="G55" i="6" s="1"/>
  <c r="G67" i="3"/>
  <c r="F62" i="6"/>
  <c r="G62" i="6" s="1"/>
  <c r="G66" i="3"/>
  <c r="F61" i="6"/>
  <c r="G61" i="6" s="1"/>
  <c r="G41" i="3"/>
  <c r="F39" i="6"/>
  <c r="G39" i="6" s="1"/>
  <c r="I39" i="6" s="1"/>
  <c r="G38" i="3"/>
  <c r="F36" i="6"/>
  <c r="G36" i="6" s="1"/>
  <c r="J36" i="6" s="1"/>
  <c r="G57" i="3"/>
  <c r="F54" i="6"/>
  <c r="G54" i="6" s="1"/>
  <c r="G31" i="3"/>
  <c r="F30" i="6"/>
  <c r="G30" i="6" s="1"/>
  <c r="L30" i="6" s="1"/>
  <c r="G37" i="3"/>
  <c r="F35" i="6"/>
  <c r="G35" i="6" s="1"/>
  <c r="J35" i="6" s="1"/>
  <c r="G44" i="6"/>
  <c r="H1082" i="4"/>
  <c r="H1084" i="4" s="1"/>
  <c r="H2226" i="4"/>
  <c r="H869" i="4"/>
  <c r="H871" i="4" s="1"/>
  <c r="H2279" i="4"/>
  <c r="H1849" i="4"/>
  <c r="H1851" i="4" s="1"/>
  <c r="H1902" i="4"/>
  <c r="H1904" i="4" s="1"/>
  <c r="H657" i="4"/>
  <c r="H659" i="4" s="1"/>
  <c r="H710" i="4"/>
  <c r="H712" i="4" s="1"/>
  <c r="H604" i="4"/>
  <c r="H606" i="4" s="1"/>
  <c r="H922" i="4"/>
  <c r="H924" i="4" s="1"/>
  <c r="H446" i="4"/>
  <c r="H448" i="4" s="1"/>
  <c r="H2008" i="4"/>
  <c r="E28" i="6"/>
  <c r="F549" i="4"/>
  <c r="F550" i="4" s="1"/>
  <c r="F547" i="4"/>
  <c r="F548" i="4"/>
  <c r="N55" i="6" l="1"/>
  <c r="M55" i="6"/>
  <c r="N54" i="6"/>
  <c r="N77" i="6" s="1"/>
  <c r="M54" i="6"/>
  <c r="L58" i="6"/>
  <c r="K58" i="6"/>
  <c r="K77" i="6" s="1"/>
  <c r="M61" i="6"/>
  <c r="L61" i="6"/>
  <c r="M62" i="6"/>
  <c r="L62" i="6"/>
  <c r="K60" i="3"/>
  <c r="M60" i="3" s="1"/>
  <c r="K55" i="3"/>
  <c r="M55" i="3" s="1"/>
  <c r="H2281" i="4"/>
  <c r="G78" i="3"/>
  <c r="G74" i="3"/>
  <c r="H2010" i="4"/>
  <c r="G73" i="3"/>
  <c r="H2228" i="4"/>
  <c r="G76" i="3"/>
  <c r="H551" i="4"/>
  <c r="H553" i="4" s="1"/>
  <c r="G65" i="3" s="1"/>
  <c r="G30" i="3"/>
  <c r="G29" i="3"/>
  <c r="F28" i="6"/>
  <c r="G28" i="6" s="1"/>
  <c r="J28" i="6" s="1"/>
  <c r="M77" i="6" l="1"/>
  <c r="M80" i="6" s="1"/>
  <c r="L77" i="6"/>
  <c r="L79" i="6" s="1"/>
  <c r="L80" i="6"/>
  <c r="K79" i="6"/>
  <c r="K78" i="6"/>
  <c r="K80" i="6"/>
  <c r="N78" i="6"/>
  <c r="N80" i="6"/>
  <c r="N79" i="6"/>
  <c r="I60" i="3"/>
  <c r="O60" i="3" s="1"/>
  <c r="I55" i="3"/>
  <c r="O55" i="3" s="1"/>
  <c r="I29" i="5"/>
  <c r="I46" i="5" s="1"/>
  <c r="G467" i="4"/>
  <c r="G16" i="4"/>
  <c r="L78" i="6" l="1"/>
  <c r="M78" i="6"/>
  <c r="M79" i="6"/>
  <c r="N81" i="6"/>
  <c r="N82" i="6" s="1"/>
  <c r="L81" i="6"/>
  <c r="L82" i="6" s="1"/>
  <c r="K81" i="6"/>
  <c r="K82" i="6" s="1"/>
  <c r="K81" i="3"/>
  <c r="M81" i="3" s="1"/>
  <c r="I81" i="3"/>
  <c r="K35" i="3"/>
  <c r="M35" i="3" s="1"/>
  <c r="I35" i="3"/>
  <c r="K71" i="3"/>
  <c r="M71" i="3" s="1"/>
  <c r="I71" i="3"/>
  <c r="I49" i="5"/>
  <c r="C48" i="5"/>
  <c r="I27" i="5"/>
  <c r="C26" i="5"/>
  <c r="I17" i="5"/>
  <c r="C16" i="5"/>
  <c r="A8" i="5"/>
  <c r="M81" i="6" l="1"/>
  <c r="M82" i="6" s="1"/>
  <c r="O81" i="3"/>
  <c r="O71" i="3"/>
  <c r="O35" i="3"/>
  <c r="E481" i="4"/>
  <c r="G481" i="4" s="1"/>
  <c r="E480" i="4"/>
  <c r="G480" i="4" s="1"/>
  <c r="E27" i="4"/>
  <c r="G27" i="4" s="1"/>
  <c r="E26" i="4"/>
  <c r="G26" i="4" s="1"/>
  <c r="G486" i="4" l="1"/>
  <c r="H489" i="4" s="1"/>
  <c r="G471" i="4"/>
  <c r="H35" i="4"/>
  <c r="F6" i="4"/>
  <c r="F1748" i="4" l="1"/>
  <c r="F1916" i="4"/>
  <c r="F259" i="4"/>
  <c r="F2077" i="4"/>
  <c r="F1638" i="4"/>
  <c r="F1522" i="4"/>
  <c r="F2132" i="4"/>
  <c r="F2399" i="4"/>
  <c r="F1467" i="4"/>
  <c r="F1416" i="4"/>
  <c r="F1364" i="4"/>
  <c r="F1260" i="4"/>
  <c r="F1312" i="4"/>
  <c r="F2613" i="4"/>
  <c r="F2667" i="4"/>
  <c r="F359" i="4"/>
  <c r="F2347" i="4"/>
  <c r="F309" i="4"/>
  <c r="F2023" i="4"/>
  <c r="F159" i="4"/>
  <c r="F209" i="4"/>
  <c r="F2881" i="4"/>
  <c r="F59" i="4"/>
  <c r="F109" i="4"/>
  <c r="F2774" i="4"/>
  <c r="F2829" i="4"/>
  <c r="F2506" i="4"/>
  <c r="F2720" i="4"/>
  <c r="F2559" i="4"/>
  <c r="F777" i="4"/>
  <c r="F2453" i="4"/>
  <c r="F2293" i="4"/>
  <c r="F1583" i="4"/>
  <c r="F1693" i="4"/>
  <c r="F1150" i="4"/>
  <c r="F1205" i="4"/>
  <c r="F989" i="4"/>
  <c r="F1096" i="4"/>
  <c r="F724" i="4"/>
  <c r="F936" i="4"/>
  <c r="F409" i="4"/>
  <c r="F618" i="4"/>
  <c r="F1809" i="4"/>
  <c r="F2240" i="4"/>
  <c r="F565" i="4"/>
  <c r="F1969" i="4"/>
  <c r="F671" i="4"/>
  <c r="F883" i="4"/>
  <c r="F1042" i="4"/>
  <c r="F2187" i="4"/>
  <c r="F830" i="4"/>
  <c r="F1863" i="4"/>
  <c r="F513" i="4"/>
  <c r="E26" i="3"/>
  <c r="E25" i="3"/>
  <c r="E15" i="3"/>
  <c r="H23" i="4"/>
  <c r="H477" i="4"/>
  <c r="H483" i="4"/>
  <c r="G466" i="4" s="1"/>
  <c r="H468" i="4" s="1"/>
  <c r="H29" i="4"/>
  <c r="G15" i="4" s="1"/>
  <c r="H17" i="4" s="1"/>
  <c r="F460" i="4"/>
  <c r="E26" i="6" l="1"/>
  <c r="E25" i="6"/>
  <c r="E16" i="6"/>
  <c r="H37" i="4"/>
  <c r="F15" i="3" s="1"/>
  <c r="H491" i="4"/>
  <c r="F26" i="3" s="1"/>
  <c r="F16" i="6" l="1"/>
  <c r="G16" i="6" s="1"/>
  <c r="I16" i="6" s="1"/>
  <c r="G26" i="3"/>
  <c r="F26" i="6"/>
  <c r="G26" i="6" s="1"/>
  <c r="J26" i="6" s="1"/>
  <c r="J77" i="6" s="1"/>
  <c r="F25" i="6"/>
  <c r="G25" i="6" s="1"/>
  <c r="I25" i="6" s="1"/>
  <c r="F495" i="4"/>
  <c r="G25" i="3"/>
  <c r="F42" i="4"/>
  <c r="F43" i="4"/>
  <c r="F44" i="4" s="1"/>
  <c r="F41" i="4"/>
  <c r="G15" i="3"/>
  <c r="F497" i="4"/>
  <c r="F498" i="4" s="1"/>
  <c r="F496" i="4"/>
  <c r="J79" i="6" l="1"/>
  <c r="J80" i="6"/>
  <c r="J78" i="6"/>
  <c r="I77" i="6"/>
  <c r="G77" i="6"/>
  <c r="H52" i="6" s="1"/>
  <c r="G83" i="3"/>
  <c r="H499" i="4"/>
  <c r="H501" i="4" s="1"/>
  <c r="H45" i="4"/>
  <c r="H47" i="4" s="1"/>
  <c r="J81" i="6" l="1"/>
  <c r="J82" i="6" s="1"/>
  <c r="H16" i="6"/>
  <c r="H56" i="6"/>
  <c r="H66" i="6"/>
  <c r="H22" i="6"/>
  <c r="H72" i="6"/>
  <c r="H70" i="6"/>
  <c r="H64" i="6"/>
  <c r="H59" i="6"/>
  <c r="H75" i="6"/>
  <c r="H73" i="6"/>
  <c r="H74" i="6"/>
  <c r="H71" i="6"/>
  <c r="H54" i="6"/>
  <c r="H69" i="6"/>
  <c r="H61" i="6"/>
  <c r="H62" i="6"/>
  <c r="H65" i="6"/>
  <c r="H68" i="6"/>
  <c r="H60" i="6"/>
  <c r="H58" i="6"/>
  <c r="H63" i="6"/>
  <c r="H55" i="6"/>
  <c r="I23" i="3"/>
  <c r="K23" i="3"/>
  <c r="M23" i="3" s="1"/>
  <c r="K27" i="3"/>
  <c r="M27" i="3" s="1"/>
  <c r="I27" i="3"/>
  <c r="I78" i="6"/>
  <c r="I80" i="6"/>
  <c r="I79" i="6"/>
  <c r="O27" i="3" l="1"/>
  <c r="O23" i="3"/>
  <c r="I81" i="6"/>
  <c r="I82" i="6" s="1"/>
  <c r="I83" i="6" s="1"/>
  <c r="J83" i="6" s="1"/>
  <c r="K83" i="6" s="1"/>
  <c r="L83" i="6" s="1"/>
  <c r="M83" i="6" s="1"/>
  <c r="N83" i="6" s="1"/>
  <c r="G83" i="6" s="1"/>
  <c r="E53" i="9"/>
  <c r="G86" i="3"/>
  <c r="G85" i="3"/>
  <c r="G84" i="3"/>
  <c r="F30" i="9" l="1"/>
  <c r="F23" i="9"/>
  <c r="F27" i="9"/>
  <c r="F26" i="9"/>
  <c r="F25" i="9"/>
  <c r="F21" i="9"/>
  <c r="F22" i="9"/>
  <c r="F20" i="9"/>
  <c r="H47" i="6"/>
  <c r="H50" i="6"/>
  <c r="H35" i="6"/>
  <c r="H37" i="6"/>
  <c r="H36" i="6"/>
  <c r="H41" i="6"/>
  <c r="H38" i="6"/>
  <c r="H49" i="6"/>
  <c r="H40" i="6"/>
  <c r="H39" i="6"/>
  <c r="H46" i="6"/>
  <c r="H51" i="6"/>
  <c r="H48" i="6"/>
  <c r="H45" i="6"/>
  <c r="H42" i="6"/>
  <c r="H43" i="6"/>
  <c r="H44" i="6"/>
  <c r="H29" i="6"/>
  <c r="H31" i="6"/>
  <c r="H33" i="6"/>
  <c r="H30" i="6"/>
  <c r="H32" i="6"/>
  <c r="H21" i="6"/>
  <c r="H17" i="6"/>
  <c r="H20" i="6"/>
  <c r="H19" i="6"/>
  <c r="H23" i="6"/>
  <c r="H18" i="6"/>
  <c r="G87" i="3"/>
  <c r="G88" i="3" s="1"/>
  <c r="G79" i="6"/>
  <c r="H79" i="6" s="1"/>
  <c r="G80" i="6"/>
  <c r="H28" i="6"/>
  <c r="H26" i="6"/>
  <c r="H25" i="6"/>
  <c r="G78" i="6"/>
  <c r="D51" i="9"/>
  <c r="D50" i="9"/>
  <c r="I50" i="9" s="1"/>
  <c r="H50" i="9" s="1"/>
  <c r="E33" i="9"/>
  <c r="E34" i="9" s="1"/>
  <c r="D38" i="9"/>
  <c r="D39" i="9" s="1"/>
  <c r="F31" i="9"/>
  <c r="F29" i="9"/>
  <c r="D43" i="9"/>
  <c r="D44" i="9" s="1"/>
  <c r="H34" i="9" l="1"/>
  <c r="F34" i="9"/>
  <c r="I88" i="3"/>
  <c r="J88" i="3"/>
  <c r="H77" i="6"/>
  <c r="H78" i="6"/>
  <c r="I51" i="9"/>
  <c r="H51" i="9" s="1"/>
  <c r="H80" i="6"/>
  <c r="G81" i="6" l="1"/>
  <c r="H81" i="6"/>
  <c r="G82" i="6" l="1"/>
  <c r="H82" i="6"/>
  <c r="F49" i="9"/>
  <c r="D49" i="9" s="1"/>
  <c r="D52" i="9" l="1"/>
  <c r="I49" i="9"/>
  <c r="H49" i="9" s="1"/>
  <c r="E54" i="9" l="1"/>
  <c r="E55" i="9" s="1"/>
  <c r="F52" i="9"/>
  <c r="E1460" i="4"/>
  <c r="E1910" i="4"/>
  <c r="E1570" i="4"/>
  <c r="E152" i="4"/>
  <c r="E1144" i="4"/>
  <c r="E2500" i="4"/>
  <c r="E718" i="4"/>
  <c r="E2822" i="4"/>
  <c r="E2234" i="4"/>
  <c r="E2016" i="4"/>
  <c r="E2713" i="4"/>
  <c r="E1631" i="4"/>
  <c r="E507" i="4"/>
  <c r="E202" i="4"/>
  <c r="E2446" i="4"/>
  <c r="E302" i="4"/>
  <c r="E2180" i="4"/>
  <c r="E1686" i="4"/>
  <c r="E1198" i="4"/>
  <c r="E824" i="4"/>
  <c r="E930" i="4"/>
  <c r="E1515" i="4"/>
  <c r="E1741" i="4"/>
  <c r="E1090" i="4"/>
  <c r="E2125" i="4"/>
  <c r="E612" i="4"/>
  <c r="E1963" i="4"/>
  <c r="E2874" i="4"/>
  <c r="E352" i="4"/>
  <c r="E2660" i="4"/>
  <c r="E1036" i="4"/>
  <c r="E1357" i="4"/>
  <c r="E454" i="4"/>
  <c r="E983" i="4"/>
  <c r="E559" i="4"/>
  <c r="E1409" i="4"/>
  <c r="E102" i="4"/>
  <c r="E402" i="4"/>
  <c r="E2768" i="4"/>
  <c r="E252" i="4"/>
  <c r="E1253" i="4"/>
  <c r="E771" i="4"/>
  <c r="E2392" i="4"/>
  <c r="E2926" i="4"/>
  <c r="E2287" i="4"/>
  <c r="E877" i="4"/>
  <c r="E2070" i="4"/>
  <c r="E1857" i="4"/>
  <c r="E2553" i="4"/>
  <c r="E1305" i="4"/>
  <c r="E665" i="4"/>
  <c r="E2340" i="4"/>
  <c r="E53" i="4"/>
  <c r="E1796" i="4"/>
  <c r="E1569" i="4"/>
  <c r="E929" i="4"/>
  <c r="E2821" i="4"/>
  <c r="E717" i="4"/>
  <c r="E1909" i="4"/>
  <c r="E823" i="4"/>
  <c r="E2552" i="4"/>
  <c r="E1252" i="4"/>
  <c r="E2712" i="4"/>
  <c r="E1795" i="4"/>
  <c r="E2925" i="4"/>
  <c r="E1740" i="4"/>
  <c r="E1630" i="4"/>
  <c r="E1143" i="4"/>
  <c r="E1459" i="4"/>
  <c r="E1035" i="4"/>
  <c r="E611" i="4"/>
  <c r="E2445" i="4"/>
  <c r="E1685" i="4"/>
  <c r="E770" i="4"/>
  <c r="E453" i="4"/>
  <c r="E1197" i="4"/>
  <c r="E2015" i="4"/>
  <c r="E2391" i="4"/>
  <c r="E558" i="4"/>
  <c r="E664" i="4"/>
  <c r="E1304" i="4"/>
  <c r="E2873" i="4"/>
  <c r="E2659" i="4"/>
  <c r="E1356" i="4"/>
  <c r="E1962" i="4"/>
  <c r="E401" i="4"/>
  <c r="E101" i="4"/>
  <c r="E301" i="4"/>
  <c r="E982" i="4"/>
  <c r="E876" i="4"/>
  <c r="E1089" i="4"/>
  <c r="E201" i="4"/>
  <c r="E251" i="4"/>
  <c r="E2499" i="4"/>
  <c r="E1514" i="4"/>
  <c r="E2069" i="4"/>
  <c r="E351" i="4"/>
  <c r="E2179" i="4"/>
  <c r="E2339" i="4"/>
  <c r="E2286" i="4"/>
  <c r="E151" i="4"/>
  <c r="E1856" i="4"/>
  <c r="E506" i="4"/>
  <c r="E2767" i="4"/>
  <c r="E2233" i="4"/>
  <c r="E2605" i="4"/>
  <c r="E1408" i="4"/>
  <c r="E52" i="4"/>
  <c r="E2124" i="4"/>
</calcChain>
</file>

<file path=xl/sharedStrings.xml><?xml version="1.0" encoding="utf-8"?>
<sst xmlns="http://schemas.openxmlformats.org/spreadsheetml/2006/main" count="5650" uniqueCount="634">
  <si>
    <t>M3</t>
  </si>
  <si>
    <t>TOTAL</t>
  </si>
  <si>
    <t>SECRETARIA DE PLANEACIÓN Y OBRAS PÚBLICAS</t>
  </si>
  <si>
    <t>CODIGO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</si>
  <si>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</si>
  <si>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</si>
  <si>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</si>
  <si>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</si>
  <si>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</si>
  <si>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</si>
  <si>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</si>
  <si>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 xml:space="preserve">PRESUPUESTO GENERAL </t>
  </si>
  <si>
    <t>ITEM</t>
  </si>
  <si>
    <t xml:space="preserve">DESCRIPCION </t>
  </si>
  <si>
    <t>UNIDAD</t>
  </si>
  <si>
    <t>CANTIDAD</t>
  </si>
  <si>
    <t>VR/UNITARIO</t>
  </si>
  <si>
    <t>VR/TOTAL</t>
  </si>
  <si>
    <t>subtotal</t>
  </si>
  <si>
    <t>TOTAL COSTO DIRECTO</t>
  </si>
  <si>
    <t>ADMINISTRACIÓN</t>
  </si>
  <si>
    <t>IMPREVISTOS</t>
  </si>
  <si>
    <t>UTILIDAD</t>
  </si>
  <si>
    <t>TOTAL COSTO INDIRECTO</t>
  </si>
  <si>
    <t>TOTAL OBRA</t>
  </si>
  <si>
    <t>_________________________________________</t>
  </si>
  <si>
    <t xml:space="preserve">REALIZO: ING JEISSON ARLED BUESAQUILLO </t>
  </si>
  <si>
    <t>ARQ. GUILLERMO YAMID VALLEJOS BENAVIDES</t>
  </si>
  <si>
    <t>Apoyo Profesional SPOPM</t>
  </si>
  <si>
    <t>SECRETARIO DE PLANEACION Y OBRAS PUBLICAS</t>
  </si>
  <si>
    <t>SAN MIGUEL - PUTUMAYO</t>
  </si>
  <si>
    <t xml:space="preserve">Unidad: </t>
  </si>
  <si>
    <t>I</t>
  </si>
  <si>
    <t>EQUIPO</t>
  </si>
  <si>
    <t>DESCRIPCIÓN</t>
  </si>
  <si>
    <t>Tipo</t>
  </si>
  <si>
    <t>Tarifa/Hora</t>
  </si>
  <si>
    <t>Rend</t>
  </si>
  <si>
    <t>V. Unitario.</t>
  </si>
  <si>
    <t>Herremienta menor</t>
  </si>
  <si>
    <t xml:space="preserve">        SUBTOTAL.</t>
  </si>
  <si>
    <t>II</t>
  </si>
  <si>
    <t>MATERIALES EN OBRA.</t>
  </si>
  <si>
    <t>Unidad</t>
  </si>
  <si>
    <t>Cant.</t>
  </si>
  <si>
    <t>Precio Unit.</t>
  </si>
  <si>
    <t xml:space="preserve"> </t>
  </si>
  <si>
    <t xml:space="preserve">        SUBTOTAL </t>
  </si>
  <si>
    <t>III</t>
  </si>
  <si>
    <t>MANO DE OBRA.</t>
  </si>
  <si>
    <t>CAN</t>
  </si>
  <si>
    <t>Jornal</t>
  </si>
  <si>
    <t>Prestac</t>
  </si>
  <si>
    <t>Jornal Total</t>
  </si>
  <si>
    <t xml:space="preserve">        SUBTOTAL</t>
  </si>
  <si>
    <t>IV</t>
  </si>
  <si>
    <t>TRANSPORTE</t>
  </si>
  <si>
    <t>Cantidad</t>
  </si>
  <si>
    <t>Prec.Unitario</t>
  </si>
  <si>
    <t>Vr. Unitario</t>
  </si>
  <si>
    <t>TOTAL COSTOS DIRECTOS.</t>
  </si>
  <si>
    <t>V</t>
  </si>
  <si>
    <t>COSTOS INDIRECTOS.</t>
  </si>
  <si>
    <t>%</t>
  </si>
  <si>
    <t xml:space="preserve">    V. UNITARIO</t>
  </si>
  <si>
    <t>TOTAL COSTOS INDIRECTOS</t>
  </si>
  <si>
    <t>TOTAL PRECIO UNITARIO.</t>
  </si>
  <si>
    <t xml:space="preserve">Reviso: </t>
  </si>
  <si>
    <t>Ing. Jeisson Arled Buesaquillo Madroñero</t>
  </si>
  <si>
    <t>Tarifa/Dia</t>
  </si>
  <si>
    <t xml:space="preserve">Cant </t>
  </si>
  <si>
    <t>MEMORIA DE CANTIDADES</t>
  </si>
  <si>
    <t>ANCHO</t>
  </si>
  <si>
    <t>LONGITUD</t>
  </si>
  <si>
    <t>No. ELEM.</t>
  </si>
  <si>
    <t>LARGO</t>
  </si>
  <si>
    <t>ALTO</t>
  </si>
  <si>
    <t>_______________________________________________</t>
  </si>
  <si>
    <t>PRELIMINARES</t>
  </si>
  <si>
    <t>Oficial de obra</t>
  </si>
  <si>
    <t>Ayudante de obra</t>
  </si>
  <si>
    <t>Dia</t>
  </si>
  <si>
    <t>Transporte suministro</t>
  </si>
  <si>
    <t>glb</t>
  </si>
  <si>
    <t>Compactador tipo rana</t>
  </si>
  <si>
    <t>VOLUMEN</t>
  </si>
  <si>
    <t>FLUJO DE INVERSION</t>
  </si>
  <si>
    <t>MES 1</t>
  </si>
  <si>
    <t>SEMANA 1</t>
  </si>
  <si>
    <t>SEMANA 2</t>
  </si>
  <si>
    <t>SEMANA 3</t>
  </si>
  <si>
    <t>DESCRIPCION</t>
  </si>
  <si>
    <t>V/UNITARIO</t>
  </si>
  <si>
    <t>V/TOTAL</t>
  </si>
  <si>
    <t>TOTAL COSTO DIRECTO OBRA</t>
  </si>
  <si>
    <t>ADMINISTRACION</t>
  </si>
  <si>
    <t>TOTAL COSTO INDIRECTO OBRA</t>
  </si>
  <si>
    <t>ACUMULADO SEMANAL</t>
  </si>
  <si>
    <t>______________________________________________</t>
  </si>
  <si>
    <t>FACTOR PRESTACIONAL PARA PERSONAL PROFESIONAL, ADMINISTRATIVO Y TECNICO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</si>
  <si>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</si>
  <si>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</si>
  <si>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</si>
  <si>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</si>
  <si>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</si>
  <si>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</si>
  <si>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</si>
  <si>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</si>
  <si>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</si>
  <si>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</si>
  <si>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</si>
  <si>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</si>
  <si>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</si>
  <si>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</si>
  <si>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</si>
  <si>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</si>
  <si>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</si>
  <si>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</si>
  <si>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</si>
  <si>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</si>
  <si>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</si>
  <si>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</si>
  <si>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</si>
  <si>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</si>
  <si>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</si>
  <si>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</si>
  <si>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</si>
  <si>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</si>
  <si>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</si>
  <si>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</si>
  <si>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</si>
  <si>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</si>
  <si>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</si>
  <si>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</si>
  <si>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</si>
  <si>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</si>
  <si>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</si>
  <si>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</si>
  <si>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</si>
  <si>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</si>
  <si>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</si>
  <si>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</si>
  <si>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</si>
  <si>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</si>
  <si>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</si>
  <si>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SECRETARIA DE PLANEACIÓN Y OBRA PÚBLICAS</t>
  </si>
  <si>
    <t>CÓDIGO</t>
  </si>
  <si>
    <t>SALARIO PERSONAL ADMINISTRATIVO DE OBRA</t>
  </si>
  <si>
    <t>PERSONAL</t>
  </si>
  <si>
    <t xml:space="preserve">SUELDO BASICO </t>
  </si>
  <si>
    <t>FACTOR PRESTACIONAL</t>
  </si>
  <si>
    <t>SUELDO + PRESTACIONES</t>
  </si>
  <si>
    <t xml:space="preserve">1. ADMINISTRACION </t>
  </si>
  <si>
    <t>1.1. PERSONAL ADMINISTRATIVO DE OBRA</t>
  </si>
  <si>
    <t>DEDICACION</t>
  </si>
  <si>
    <t>MESES</t>
  </si>
  <si>
    <t>VALOR PARCIAL</t>
  </si>
  <si>
    <t>% SOBRE COSTO DIRECTO</t>
  </si>
  <si>
    <t xml:space="preserve">1.2. COSTOS DEL PROCESO </t>
  </si>
  <si>
    <t>Polizas y legalizacion del contrato</t>
  </si>
  <si>
    <t>1.3. GASTOS DE OBRA</t>
  </si>
  <si>
    <t>Edicion de informes</t>
  </si>
  <si>
    <t>Seguridad Industrial</t>
  </si>
  <si>
    <t>IMPUESTOS DE OBRA</t>
  </si>
  <si>
    <t>Otras obigaciones (Impuestos de ley)</t>
  </si>
  <si>
    <t>TOTAL ADMINISTRACION</t>
  </si>
  <si>
    <t>2. IMPREVISTOS</t>
  </si>
  <si>
    <t>PORCENTAJE</t>
  </si>
  <si>
    <t>TOTAL UTILIDAD</t>
  </si>
  <si>
    <t>3. UTILIDAD</t>
  </si>
  <si>
    <t>TOTAL COSTO DIRECTO A.I.U</t>
  </si>
  <si>
    <t>RESUMEN</t>
  </si>
  <si>
    <t xml:space="preserve">ADMINISTRACION </t>
  </si>
  <si>
    <t>COSTO DIRECTO</t>
  </si>
  <si>
    <t>SUBTOTAL</t>
  </si>
  <si>
    <t>________________________________________________</t>
  </si>
  <si>
    <t xml:space="preserve">DESGLOCE A.I.U - SUMINISTRO E INSTALACION POZO SEPTICO </t>
  </si>
  <si>
    <t>MOVIMIENTO DE TIERRAS</t>
  </si>
  <si>
    <t>M2</t>
  </si>
  <si>
    <t>Redn  M3/Dia</t>
  </si>
  <si>
    <t>Kg</t>
  </si>
  <si>
    <t>Cemento Tipo 1</t>
  </si>
  <si>
    <t>Arena lavada</t>
  </si>
  <si>
    <t xml:space="preserve">Grava TMN 1/2" </t>
  </si>
  <si>
    <t>Agua</t>
  </si>
  <si>
    <t>LT</t>
  </si>
  <si>
    <t>Redn  M2/Dia</t>
  </si>
  <si>
    <t>Mezcladora de concreto</t>
  </si>
  <si>
    <t>IVA SOBRE UTILIDAD</t>
  </si>
  <si>
    <t>CRONOGRAMA DE OBRA</t>
  </si>
  <si>
    <t>COSTO INDIRECTO</t>
  </si>
  <si>
    <t>A.I.U</t>
  </si>
  <si>
    <t>VALOR TOTAL + IVA</t>
  </si>
  <si>
    <t xml:space="preserve">localizacion y replanteo </t>
  </si>
  <si>
    <t>CONCRETOS Y ACEROS</t>
  </si>
  <si>
    <t>CUBIERTA</t>
  </si>
  <si>
    <t xml:space="preserve">Suministro, instalacion y compactacion de material  seleccionado </t>
  </si>
  <si>
    <t>KG</t>
  </si>
  <si>
    <t xml:space="preserve">aplicación de pañete interior y exterior </t>
  </si>
  <si>
    <t>estacas</t>
  </si>
  <si>
    <t>und</t>
  </si>
  <si>
    <t xml:space="preserve">puntillas </t>
  </si>
  <si>
    <t>lb</t>
  </si>
  <si>
    <t>nylon en rollo</t>
  </si>
  <si>
    <t>may</t>
  </si>
  <si>
    <t>recebo de material seleccionado</t>
  </si>
  <si>
    <t xml:space="preserve">acero fy= 420 mpa </t>
  </si>
  <si>
    <t xml:space="preserve">alambre </t>
  </si>
  <si>
    <t>Gl</t>
  </si>
  <si>
    <t>Soldadura PVC</t>
  </si>
  <si>
    <t>Limpiador PVC</t>
  </si>
  <si>
    <t>Ml</t>
  </si>
  <si>
    <t>UND</t>
  </si>
  <si>
    <t xml:space="preserve">Cemento Tipo 1 </t>
  </si>
  <si>
    <t xml:space="preserve">Suministro e instalacion de correas metalicas en perfil retangular de ( 120 x 50 x 2 mm) </t>
  </si>
  <si>
    <t>Perfil retangular de acero (120x50x2mm)</t>
  </si>
  <si>
    <t xml:space="preserve">Soldadura </t>
  </si>
  <si>
    <t xml:space="preserve">Disco de corte y pulido </t>
  </si>
  <si>
    <t>Und</t>
  </si>
  <si>
    <t xml:space="preserve">Anticorrosivo </t>
  </si>
  <si>
    <t>Gal</t>
  </si>
  <si>
    <t xml:space="preserve">Pintura de acbado </t>
  </si>
  <si>
    <t xml:space="preserve">Equipo de soldadura </t>
  </si>
  <si>
    <t xml:space="preserve">Andamios y equipos menores </t>
  </si>
  <si>
    <t xml:space="preserve">Tornillo autoperforante con arandela </t>
  </si>
  <si>
    <t xml:space="preserve">ladrillo </t>
  </si>
  <si>
    <t xml:space="preserve">Estuco Plastico </t>
  </si>
  <si>
    <t>Lija #200</t>
  </si>
  <si>
    <t>Excavacion Manual Localizada (incluye retiro)</t>
  </si>
  <si>
    <t>Viga de cimentacion de (30x35cm) en concreto 3000 PSI</t>
  </si>
  <si>
    <t>Vigas de corona de (12x20cm ) en concreto de 3000 PSI</t>
  </si>
  <si>
    <t>Columnetas de confinamiento de (12x20cm) en concreto  de 3000 PSI</t>
  </si>
  <si>
    <t xml:space="preserve">Acero de refuerzo Fy= 420 mpa </t>
  </si>
  <si>
    <t>ML</t>
  </si>
  <si>
    <t>CONSTRUCCION CASA HABITACIONAL CENTRO DIA</t>
  </si>
  <si>
    <t xml:space="preserve">construccion de caja de inspeccion sanitaria de (80X80) en mamposteria incluye tapa en concreto </t>
  </si>
  <si>
    <t xml:space="preserve">aplicación de estuco plastico </t>
  </si>
  <si>
    <t xml:space="preserve">aplicación de pintura en acabado de muros </t>
  </si>
  <si>
    <t>Redn  ML/Dia</t>
  </si>
  <si>
    <t>Redn  KG/Dia</t>
  </si>
  <si>
    <t xml:space="preserve">Suministro e instalacion de tuberia hidraulica en PVC presion 3/4"  incluido accesorios   </t>
  </si>
  <si>
    <t xml:space="preserve">Suministro e instalacion de tuberia hidraulica en PVC presion 1/2"  incluido accesorios   </t>
  </si>
  <si>
    <t xml:space="preserve">Suministro e instalacion de  tubieria sanitaria en PVC 2" incluido accesorios </t>
  </si>
  <si>
    <t xml:space="preserve">Suministro e instalacion de  tubieria sanitaria en PVC 4" incluido accesorios </t>
  </si>
  <si>
    <t xml:space="preserve">Tuberia hidraulica PVC presion 3/4" </t>
  </si>
  <si>
    <t>Codo 90"</t>
  </si>
  <si>
    <t xml:space="preserve">Tee </t>
  </si>
  <si>
    <t>Union</t>
  </si>
  <si>
    <t xml:space="preserve">Tuberia hidraulica PVC presion 1/2" </t>
  </si>
  <si>
    <t>Tuberia Sanitaria 4"</t>
  </si>
  <si>
    <t>Semicodo CXC 45"</t>
  </si>
  <si>
    <t>Yee</t>
  </si>
  <si>
    <t>Tuberia Sanitaria 2"</t>
  </si>
  <si>
    <t>Ladrillo farol No4</t>
  </si>
  <si>
    <t>Angulo 1 1/2" x 3/16</t>
  </si>
  <si>
    <t>tapa</t>
  </si>
  <si>
    <t>mamposteria</t>
  </si>
  <si>
    <t>piso</t>
  </si>
  <si>
    <t>pañete</t>
  </si>
  <si>
    <t>total</t>
  </si>
  <si>
    <t>Redn  UND/Dia</t>
  </si>
  <si>
    <t>Tornillo Autoperforante</t>
  </si>
  <si>
    <t>Suministro e instalacion de tejas arquitectonica de Cal 28</t>
  </si>
  <si>
    <t xml:space="preserve">Teja arquitectonica prepintada </t>
  </si>
  <si>
    <t>Arena Lavada</t>
  </si>
  <si>
    <t>Pintura Tipo 1</t>
  </si>
  <si>
    <t>Rodillo antigota</t>
  </si>
  <si>
    <t>AREA DE INTERVENCION</t>
  </si>
  <si>
    <t>EXCAVACION CICLOPEO</t>
  </si>
  <si>
    <t>Concreto Ciclopeo 60-40 Mejoramiento del terreno (40X40)</t>
  </si>
  <si>
    <t>CIMENTACION</t>
  </si>
  <si>
    <t>COLUMNETAS</t>
  </si>
  <si>
    <t>VIGA CIMENTACION 30X35</t>
  </si>
  <si>
    <t>VIGA CORONA 12X20</t>
  </si>
  <si>
    <t>COLUMNETAS 12X20</t>
  </si>
  <si>
    <t>MEJORAMIENTO CICLOPEO</t>
  </si>
  <si>
    <t>TUBERIA DE ALIMENTACION</t>
  </si>
  <si>
    <t>RED DE ALIMENTACION 3/4"</t>
  </si>
  <si>
    <t>SANITARIA</t>
  </si>
  <si>
    <t xml:space="preserve">RED DE DESAGUE SANITARIA </t>
  </si>
  <si>
    <t>CAJAS SANITARIAS</t>
  </si>
  <si>
    <t>CAJAS 80X80</t>
  </si>
  <si>
    <t>Punto Sanitario 2"</t>
  </si>
  <si>
    <t>Punto Sanitario 4"</t>
  </si>
  <si>
    <t>Tuberia sanitaria 2"</t>
  </si>
  <si>
    <t>Yee Sanitaria 2"</t>
  </si>
  <si>
    <t>Union Sanitaria 2"</t>
  </si>
  <si>
    <t>Tuberia sanitaria 4"</t>
  </si>
  <si>
    <t>Yee Sanitaria 4"</t>
  </si>
  <si>
    <t>Union Sanitaria 4"</t>
  </si>
  <si>
    <t>PUNTO SANITARIO</t>
  </si>
  <si>
    <t>LAVAMANOS</t>
  </si>
  <si>
    <t>SIFON DE DUCHA</t>
  </si>
  <si>
    <t>INODORO</t>
  </si>
  <si>
    <t>CORREAS METALICAS</t>
  </si>
  <si>
    <t>CORREAS DE CUBIERTA</t>
  </si>
  <si>
    <t>AREA DE CUBIERTA</t>
  </si>
  <si>
    <t>Muro en mamposteria en ladrillo farol No4.</t>
  </si>
  <si>
    <t>MAMPOSTERIA</t>
  </si>
  <si>
    <t>VENTANA DE BAÑO</t>
  </si>
  <si>
    <t>PUERTAS</t>
  </si>
  <si>
    <t>PUERTA PRINCIPAL</t>
  </si>
  <si>
    <t>PUERTA DE BAÑO</t>
  </si>
  <si>
    <t>INSTALACIONES HIDROSANITARIAS Y ELECTRICAS</t>
  </si>
  <si>
    <t>Punto electrico 1/2"</t>
  </si>
  <si>
    <t>Tuberia EMT 1/2"</t>
  </si>
  <si>
    <t>Interrutor sencillo</t>
  </si>
  <si>
    <t>Tomacorriente doble.</t>
  </si>
  <si>
    <t>Tomacorriente GFCI</t>
  </si>
  <si>
    <t>Caja 4x2 EMT</t>
  </si>
  <si>
    <t>Redn  Ml/Dia</t>
  </si>
  <si>
    <t>Interruptor sencillo</t>
  </si>
  <si>
    <t>Tomacorriente Doble</t>
  </si>
  <si>
    <t>PUNTO ELECTRICOS</t>
  </si>
  <si>
    <t>LUMINARIAS</t>
  </si>
  <si>
    <t>TOMACORRIENTES</t>
  </si>
  <si>
    <t>ACOMETIDA</t>
  </si>
  <si>
    <t>PUNTO ELECTRICO</t>
  </si>
  <si>
    <t>INTERRUPTOR SENCILLO</t>
  </si>
  <si>
    <t>TOMACORRIENTE GFCI</t>
  </si>
  <si>
    <t>TOMA CORRIENTE DOBLE</t>
  </si>
  <si>
    <t>MAMPOSTERIA, ACABADOS, PINTURA Y PISOS</t>
  </si>
  <si>
    <t>Guardaescoba ceramica h=7cm</t>
  </si>
  <si>
    <t>Instalacion de ceramica antideslizante formato 35X35</t>
  </si>
  <si>
    <t>Ceramica antideslizante gris claro 35x35</t>
  </si>
  <si>
    <t>Rocadura Pegante ceramico</t>
  </si>
  <si>
    <t>Boquilla Blanca para juntas</t>
  </si>
  <si>
    <t>Guardaescobas H=7cm</t>
  </si>
  <si>
    <t>ENCHAPE CERAMICO</t>
  </si>
  <si>
    <t>Placa de contrapiso e=0.10m concreto 3000 PSI</t>
  </si>
  <si>
    <t>CARPINTERIA METALICA</t>
  </si>
  <si>
    <t>Puerta de baño en aluminio (1.00x2.10)</t>
  </si>
  <si>
    <t>Puerta principal en lamina cold rolled cal 18 entamborada incluye cerradura (1.00X2.10)</t>
  </si>
  <si>
    <t>Lamina Cold Rolled Cal 18</t>
  </si>
  <si>
    <t>Marco metalico en lamina doblada Cal 18</t>
  </si>
  <si>
    <t>Cerradura Principal</t>
  </si>
  <si>
    <t>Anticorrosivo</t>
  </si>
  <si>
    <t>Pintura en esmalte</t>
  </si>
  <si>
    <t>Hoja de puerta en aluminio</t>
  </si>
  <si>
    <t>Marco de aluminio</t>
  </si>
  <si>
    <t>Cerradura para baño con seguro</t>
  </si>
  <si>
    <t>Bisagra de aluminio</t>
  </si>
  <si>
    <t>Tornilleria y chazos</t>
  </si>
  <si>
    <t>Ventana de aluminio tipo persiana</t>
  </si>
  <si>
    <t>Marco y perfileria de aluminio</t>
  </si>
  <si>
    <t>Silicona y sellantes</t>
  </si>
  <si>
    <t>Vidrio transparente de 4mm</t>
  </si>
  <si>
    <t>Rieles y guia</t>
  </si>
  <si>
    <t>Cerradura y manijas</t>
  </si>
  <si>
    <t>Tornilleria y anclajes</t>
  </si>
  <si>
    <t>Glb</t>
  </si>
  <si>
    <t>Platinas y refuerzos</t>
  </si>
  <si>
    <t>Soldadura</t>
  </si>
  <si>
    <t>CENTRO DIA PTO COLON</t>
  </si>
  <si>
    <t>Fachada sur</t>
  </si>
  <si>
    <t>Fachada Norte</t>
  </si>
  <si>
    <t>AREA</t>
  </si>
  <si>
    <t>DES_PUERTA</t>
  </si>
  <si>
    <t>DES_VENT</t>
  </si>
  <si>
    <t>Fachada principal</t>
  </si>
  <si>
    <t>Suministro e instalación de pasamanos en acero inoxidable AISI 304 con postes anclados a losa</t>
  </si>
  <si>
    <t>Suministro e instalación de pasamanos en acero inoxidable AISI 304con anclaje lateral a muro</t>
  </si>
  <si>
    <t>Pulidora industrial</t>
  </si>
  <si>
    <t>dia</t>
  </si>
  <si>
    <t>Baranda metálica fabricada en acero inoxidable AISI 304 acabado satinado, compuesta por pasamanos tubular superior, postes verticales anclados mecánicamente a losa de concreto mediante placa base y pernos expansivos, con dos travesaños horizontales intermedios, uniones mediante soldadura TIG y acabado pulido.</t>
  </si>
  <si>
    <t>OBREROS</t>
  </si>
  <si>
    <t>Pasamanos metálico no estructural fabricado en acero inoxidable AISI 304 acabado satinado, compuesto por tubo redondo principal Ø 2”, fijado lateralmente a muro mediante soportes metálicos soldados y anclados con pernos expansivos inoxidables. Incluye elementos de fijación, soldadura TIG y acabado pulido.</t>
  </si>
  <si>
    <t>Desmonte de pasamanos metálico auto portante con anclaje a piso existente y anclaje lateral a muro existente</t>
  </si>
  <si>
    <t>Desmonte de cabinas metálicas existentes</t>
  </si>
  <si>
    <t>Desmonte de unidades sanitarias y lavamanos existentes</t>
  </si>
  <si>
    <t>Demolición de enchape de piso existente</t>
  </si>
  <si>
    <t>Unidades Sanitarias</t>
  </si>
  <si>
    <t>Unidad Sanitaria</t>
  </si>
  <si>
    <t>Esmeril</t>
  </si>
  <si>
    <t>Disco de corte para metal 4 1/2"</t>
  </si>
  <si>
    <t>Redn  Und/Dia</t>
  </si>
  <si>
    <t>Muro en mamposteria en ladrillo farol No3</t>
  </si>
  <si>
    <t>Muros Internos</t>
  </si>
  <si>
    <t>Muro de  Eje 2 entre A-B</t>
  </si>
  <si>
    <t>Muros internos y externo del baño</t>
  </si>
  <si>
    <t xml:space="preserve">Area Piso baños </t>
  </si>
  <si>
    <t>Area interna Baños</t>
  </si>
  <si>
    <t>Suministro e instalación de cerámica para pared 30x30 cm color blanco (incluye alistado)</t>
  </si>
  <si>
    <t>DES_PUER_VENT</t>
  </si>
  <si>
    <t>Perimeto de Muros internos</t>
  </si>
  <si>
    <t xml:space="preserve">Cortadora de ceramica </t>
  </si>
  <si>
    <t>Ceramica  Blaco de 30x30</t>
  </si>
  <si>
    <t>Puerta en aluminio</t>
  </si>
  <si>
    <t>Taza sanitaria</t>
  </si>
  <si>
    <t>Lavamanos</t>
  </si>
  <si>
    <t>REMODELACION  BAÑOS E INSTALACION DE PASAMANOS</t>
  </si>
  <si>
    <t>Lavamanos de empotrar</t>
  </si>
  <si>
    <t>Cemento blanco</t>
  </si>
  <si>
    <t>Griferia para lavamanos monocontrol</t>
  </si>
  <si>
    <t>Anclaje de Pared</t>
  </si>
  <si>
    <t xml:space="preserve">Pasillo1 </t>
  </si>
  <si>
    <t xml:space="preserve">pasillo 2 </t>
  </si>
  <si>
    <t>Pasillo 3</t>
  </si>
  <si>
    <t>Cabinas metalicas</t>
  </si>
  <si>
    <t>Unidades Sanitarias-Desmonte</t>
  </si>
  <si>
    <t>Unidades sanitarias</t>
  </si>
  <si>
    <t>Retiro y disposicion de material sobrante</t>
  </si>
  <si>
    <t>material demolicion de pisos y muro</t>
  </si>
  <si>
    <t>Demolición manual de muro de baño</t>
  </si>
  <si>
    <t>área total de intervención</t>
  </si>
  <si>
    <t>Puerta de baño en aluminio compuesto corrediza  (0.90x2.10)</t>
  </si>
  <si>
    <t>Hoja de puerta en aluminio aluminio compuesto 0.90 × 2.10 m</t>
  </si>
  <si>
    <t>Riel superior aluminio</t>
  </si>
  <si>
    <t>Sistema de rodachines</t>
  </si>
  <si>
    <t>Guía inferior</t>
  </si>
  <si>
    <t>Jaladera acero inoxidable</t>
  </si>
  <si>
    <t>Tornillería y chazos</t>
  </si>
  <si>
    <t xml:space="preserve">Demolición de muro de baño Eje 2 entre A-B para la puerta </t>
  </si>
  <si>
    <t>Demolición de muro de baño Eje 2 entre A-B para la ventana persiana</t>
  </si>
  <si>
    <t>Ventana en aluminio tipo persiana (0.50x1.20)</t>
  </si>
  <si>
    <t>Puerta en aluminio compuesto</t>
  </si>
  <si>
    <t>Unidad sanitaria</t>
  </si>
  <si>
    <t>Ventana en aluminio tipo persiana (1.20x0.50)</t>
  </si>
  <si>
    <t>Muro de  Eje 2 entre A-B encima puerta</t>
  </si>
  <si>
    <t>Muros externo del baño</t>
  </si>
  <si>
    <t>Muros internos del baño</t>
  </si>
  <si>
    <t xml:space="preserve">Area pared baños </t>
  </si>
  <si>
    <t>Anclaje de piso</t>
  </si>
  <si>
    <t>Suministro e instalación de taza sanitaria tipo institucional (incluye accesorios de fijación y conexión)</t>
  </si>
  <si>
    <t>DUCHA</t>
  </si>
  <si>
    <t>TAZA SANITARIA</t>
  </si>
  <si>
    <t>Taza sanitaria institucional (incluye accesorios)</t>
  </si>
  <si>
    <t>Suministro e instalación de ducha tipo telefónica cromada, incluye regadera, brazo, chapeta, accesorios de fijación, conexiones</t>
  </si>
  <si>
    <t>Ducha telefónica cromada institucional</t>
  </si>
  <si>
    <t>Brazo para ducha cromado</t>
  </si>
  <si>
    <t>Chapeta cromada</t>
  </si>
  <si>
    <t>Cinta teflón</t>
  </si>
  <si>
    <t>Silicona sanitaria</t>
  </si>
  <si>
    <t>Silicona neutra</t>
  </si>
  <si>
    <t>CENTRO DIA PTO COLON_MANTENIMIENTO</t>
  </si>
  <si>
    <t>Mantenimiento unidad sanitaria (Sondeo)</t>
  </si>
  <si>
    <t>Sondeo de redes sanitarias</t>
  </si>
  <si>
    <t>sondeo cajillas baños_redes internas</t>
  </si>
  <si>
    <t>Suministro e instalación de unidad sanitaria tipo PMR (personas con movilidad reducida) línea económica</t>
  </si>
  <si>
    <t>suma</t>
  </si>
  <si>
    <t>area Ocre</t>
  </si>
  <si>
    <t>polen</t>
  </si>
  <si>
    <t>SEMANA 4</t>
  </si>
  <si>
    <t>Taza sanitaria PMR línea económica</t>
  </si>
  <si>
    <t>Barra de apoyo abatible en acero inoxidable Ø 1½" L=80 cm</t>
  </si>
  <si>
    <t>Barra de apoyo fija empotrada en acero inoxidable Ø 1½" L=80 cm</t>
  </si>
  <si>
    <t>Suministro y construcción de bordillo en mampostería estructural de ladrillo a la vista, h=0,50 m, con alfajía en concreto reforzado fundido en sitio</t>
  </si>
  <si>
    <t>Bordillo alrededor de la huerta</t>
  </si>
  <si>
    <t>Cable THHN #12 AWG</t>
  </si>
  <si>
    <t>Cinta Aislante</t>
  </si>
  <si>
    <t>tuberia para Lavamanos</t>
  </si>
  <si>
    <t>tuberia para taza sanitaria PMR</t>
  </si>
  <si>
    <t>Union EMT 1/2"</t>
  </si>
  <si>
    <t>Curvas 1/2"</t>
  </si>
  <si>
    <t>SOLDADOR</t>
  </si>
  <si>
    <t>Taladro</t>
  </si>
  <si>
    <t>Equipo soldadura TIG</t>
  </si>
  <si>
    <t xml:space="preserve">Mezcladora de concreto </t>
  </si>
  <si>
    <t>Día</t>
  </si>
  <si>
    <t xml:space="preserve">Piedra rajon </t>
  </si>
  <si>
    <t>Bisagra 4" reforzada</t>
  </si>
  <si>
    <t xml:space="preserve">día </t>
  </si>
  <si>
    <t>Tabla para encofrar</t>
  </si>
  <si>
    <t xml:space="preserve">Ladrillo </t>
  </si>
  <si>
    <t>Impermeabilizante integral para mortero</t>
  </si>
  <si>
    <t>Herramienta menor</t>
  </si>
  <si>
    <t>cemento tipo 1</t>
  </si>
  <si>
    <t>arena lavada</t>
  </si>
  <si>
    <t xml:space="preserve">agua </t>
  </si>
  <si>
    <t>Demolicion de enchape de muro existente</t>
  </si>
  <si>
    <t>Martillo demoledor eléctrico con accesorios</t>
  </si>
  <si>
    <t>H</t>
  </si>
  <si>
    <t>Demolición de enchape de pared existente</t>
  </si>
  <si>
    <t>PROPUESTA AMPLIACION AREA 1</t>
  </si>
  <si>
    <t>PASILLO</t>
  </si>
  <si>
    <t>VIGA DE CORONA</t>
  </si>
  <si>
    <t>CUCHILLAS</t>
  </si>
  <si>
    <t>PLACA DE CONTRAPISO</t>
  </si>
  <si>
    <t>CUBIERTA AREA 1</t>
  </si>
  <si>
    <t>Suministro e instalación de lavamanos institucional sobreponer línea económica</t>
  </si>
  <si>
    <t>INTERRUPTORES</t>
  </si>
  <si>
    <t>VENTANA V1</t>
  </si>
  <si>
    <t>VENTANA V2</t>
  </si>
  <si>
    <t>PASILLO DE ENTRADA</t>
  </si>
  <si>
    <t>Ventana en aluminio tipo persiana (0.90x0.60)</t>
  </si>
  <si>
    <t>VENTANAS DE FACHADA</t>
  </si>
  <si>
    <t>PROPUESTA AMPLIACION AREA</t>
  </si>
  <si>
    <t>EXCAVACION EJE 1 DESDE A HASTA I</t>
  </si>
  <si>
    <t>EXCAVACION EJE 7 DESDE A HASTA H</t>
  </si>
  <si>
    <t>EXCAVACION EJE 9 DESDE A HASTA H</t>
  </si>
  <si>
    <t>EXCAVACION EJE 14 DESDE A HASTA I</t>
  </si>
  <si>
    <t>EXCAVACION EJE A DESDE 1 HASTA 14</t>
  </si>
  <si>
    <t>EXCAVACION EJE I DESDE 1 HASTA 14</t>
  </si>
  <si>
    <t>EXCAVACION EJE E DESDE 1 HASTA 14</t>
  </si>
  <si>
    <t>EXCAVACION EJE B DESDE 2 HASTA 13</t>
  </si>
  <si>
    <t>EXCAVACION EJE 2 DESDE A HASTA B</t>
  </si>
  <si>
    <t>EXCAVACION EJE 13 DESDE A HASTA B</t>
  </si>
  <si>
    <t>EXCAVACION EJE H DESDE 3 HASTA 12</t>
  </si>
  <si>
    <t>EXCAVACION EJE 3 DESDE H HASTA I</t>
  </si>
  <si>
    <t>EXCAVACION EJE 8 DESDE H HASTA I</t>
  </si>
  <si>
    <t>EXCAVACION EJE 12 DESDE A HASTA B</t>
  </si>
  <si>
    <t>EXCAVACION EJE I EJE 15</t>
  </si>
  <si>
    <t>EXCAVACION 15</t>
  </si>
  <si>
    <t>VIGA EJE 1 DESDE A HASTA I</t>
  </si>
  <si>
    <t>VIGA EJE 7 DESDE A HASTA H</t>
  </si>
  <si>
    <t>VIGA EJE 9 DESDE A HASTA H</t>
  </si>
  <si>
    <t>VIGA EJE 14 DESDE A HASTA I</t>
  </si>
  <si>
    <t>VIGA EJE A DESDE 1 HASTA 14</t>
  </si>
  <si>
    <t>VIGA EJE E DESDE 1 HASTA 14</t>
  </si>
  <si>
    <t>VIGA EJE I DESDE 1 HASTA 14</t>
  </si>
  <si>
    <t>VIGA EJE B DESDE 2 HASTA 13</t>
  </si>
  <si>
    <t>VIGA EJE 2 DESDE A HASTA B</t>
  </si>
  <si>
    <t>VIGA EJE 13 DESDE A HASTA B</t>
  </si>
  <si>
    <t>VIGA EJE H DESDE 3 HASTA 12</t>
  </si>
  <si>
    <t>VIGA EJE 3 DESDE H HASTA I</t>
  </si>
  <si>
    <t>VIGA EJE 8 DESDE H HASTA I</t>
  </si>
  <si>
    <t>VIGA EJE 12 DESDE A HASTA B</t>
  </si>
  <si>
    <t>VIGA EJE 7 DESDE H HASTA I</t>
  </si>
  <si>
    <t>EJE 1</t>
  </si>
  <si>
    <t>EJE 2</t>
  </si>
  <si>
    <t>EJE 3</t>
  </si>
  <si>
    <t>EJE 4</t>
  </si>
  <si>
    <t>EJE 7</t>
  </si>
  <si>
    <t>EJE 8</t>
  </si>
  <si>
    <t>EJE 9</t>
  </si>
  <si>
    <t>EJE 12</t>
  </si>
  <si>
    <t>EJE 13</t>
  </si>
  <si>
    <t>EJE 14</t>
  </si>
  <si>
    <t>VIGA EJE 1 Y EJE 14 ACERO 1/2"</t>
  </si>
  <si>
    <t>VIGA EJE 1 Y EJE 14 ACERO 3/8"</t>
  </si>
  <si>
    <t>VIGA EJE A, EJE E Y EJE I ACERO 1/2"</t>
  </si>
  <si>
    <t>VIGA EJE A, EJE E Y EJE I ACERO 3/8"</t>
  </si>
  <si>
    <t>VIGA EJE 7 Y EJE 9 ACERO 1/2"</t>
  </si>
  <si>
    <t>VIGA EJE 7 Y EJE 9 ACERO 3/8"</t>
  </si>
  <si>
    <t>VIGA EJE B ACERO 1/2"</t>
  </si>
  <si>
    <t>VIGA EJE B ACERO 3/8"</t>
  </si>
  <si>
    <t>VIGA EJE H ACERO 1/2"</t>
  </si>
  <si>
    <t>VIGA EJE H ACERO 3/8"</t>
  </si>
  <si>
    <t>VIGA EJE 2 ACERO 1/2"</t>
  </si>
  <si>
    <t>VIGA EJE 2 ACERO 3/8"</t>
  </si>
  <si>
    <t>VIGA EJE 13 ACERO 1/2"</t>
  </si>
  <si>
    <t>VIGA EJE 13 ACERO 3/8"</t>
  </si>
  <si>
    <t>VIGA EJE 3 ACERO 1/2"</t>
  </si>
  <si>
    <t>VIGA EJE 3 ACERO 3/8"</t>
  </si>
  <si>
    <t>VIGA EJE 7 ACERO 1/2"</t>
  </si>
  <si>
    <t>VIGA EJE 7 ACERO 3/8"</t>
  </si>
  <si>
    <t>VIGA EJE 12 ACERO 1/2"</t>
  </si>
  <si>
    <t>VIGA EJE 12 ACERO 3/8"</t>
  </si>
  <si>
    <t>VIGA EJE 1 Y EJE 14 ACERO 1/4"</t>
  </si>
  <si>
    <t>VIGA EJE A, EJE E Y EJE I ACERO 1/4"</t>
  </si>
  <si>
    <t>VIGA EJE 7 Y EJE 9 ACERO 1/4"</t>
  </si>
  <si>
    <t>VIGA EJE B ACERO 1/4"</t>
  </si>
  <si>
    <t>VIGA EJE H ACERO 1/4"</t>
  </si>
  <si>
    <t>VIGA EJE 2 ACERO 1/4"</t>
  </si>
  <si>
    <t>VIGA EJE 13 ACERO 1/4"</t>
  </si>
  <si>
    <t>VIGA EJE 3 ACERO 1/4"</t>
  </si>
  <si>
    <t>VIGA EJE 7 ACERO 1/4"</t>
  </si>
  <si>
    <t>VIGA EJE 12 ACERO 1/4"</t>
  </si>
  <si>
    <t>EJE 1 ACERO 3/8"</t>
  </si>
  <si>
    <t>EJE 1 ACERO 1/4"</t>
  </si>
  <si>
    <t>EJE 2 ACERO 3/8"</t>
  </si>
  <si>
    <t>EJE 2 ACERO 1/4"</t>
  </si>
  <si>
    <t>EJE 3 ACERO 3/8"</t>
  </si>
  <si>
    <t>EJE 3 ACERO 1/4"</t>
  </si>
  <si>
    <t>EJE 4 ACERO 3/8"</t>
  </si>
  <si>
    <t>EJE 4 ACERO 1/4"</t>
  </si>
  <si>
    <t>EJE 7 ACERO 3/8"</t>
  </si>
  <si>
    <t>EJE 7 ACERO 1/4"</t>
  </si>
  <si>
    <t>EJE 8 ACERO 3/8"</t>
  </si>
  <si>
    <t>EJE 8 ACERO 1/4"</t>
  </si>
  <si>
    <t>EJE 9 ACERO 3/8"</t>
  </si>
  <si>
    <t>EJE 9 ACERO 1/4"</t>
  </si>
  <si>
    <t>EJE 12 ACERO 3/8"</t>
  </si>
  <si>
    <t>EJE 12 ACERO 1/4"</t>
  </si>
  <si>
    <t>EJE 13 ACERO 3/8"</t>
  </si>
  <si>
    <t>EJE 13 ACERO 1/4"</t>
  </si>
  <si>
    <t>EJE 14 ACERO 3/8"</t>
  </si>
  <si>
    <t>EJE 14 ACERO 1/4"</t>
  </si>
  <si>
    <t>SEGUNDO PASILLO PERIMETRAL</t>
  </si>
  <si>
    <t>MALLA ELECTROSOLDADA 5MM</t>
  </si>
  <si>
    <t>KG/ML O KG/M2</t>
  </si>
  <si>
    <t>LONGITUD O AREA</t>
  </si>
  <si>
    <t>ANDENES</t>
  </si>
  <si>
    <t>RED DE DISTRIBUCION 1/2" DUCHA</t>
  </si>
  <si>
    <t>RED DE DISTRIBUCION 1/2" LAVAMANOS</t>
  </si>
  <si>
    <t>RED DE DISTRIBUCION 1/2" SANITARIO</t>
  </si>
  <si>
    <t>SIFON DE BAÑO</t>
  </si>
  <si>
    <t>Tuberia PVC Conduit 1/2"</t>
  </si>
  <si>
    <t>Tuberia Conduit PVC 1/2"</t>
  </si>
  <si>
    <t>DESDE MEDIDOR CIRCUITO 1</t>
  </si>
  <si>
    <t>DESDE MEDIDOR CIRCUITO 2</t>
  </si>
  <si>
    <t>DESDE MEDIDOR CIRCUITO 3</t>
  </si>
  <si>
    <t>DISTRIBUCION</t>
  </si>
  <si>
    <t>INTERRUPTORES REGATAS</t>
  </si>
  <si>
    <t>MURO EJE 1 DESDE A HASTA I</t>
  </si>
  <si>
    <t>MURO EJE 7 DESDE A HASTA H</t>
  </si>
  <si>
    <t>MURO EJE 9 DESDE A HASTA H</t>
  </si>
  <si>
    <t>MURO EJE 14 DESDE A HASTA I</t>
  </si>
  <si>
    <t>MURO EJE A DESDE 1 HASTA 14</t>
  </si>
  <si>
    <t>MURO EJE E DESDE 1 HASTA 14</t>
  </si>
  <si>
    <t>MURO EJE I DESDE 1 HASTA 14</t>
  </si>
  <si>
    <t>MURO EJE B DESDE 2 HASTA 13</t>
  </si>
  <si>
    <t>MURO EJE 2 DESDE A HASTA B</t>
  </si>
  <si>
    <t>MURO EJE 13 DESDE A HASTA B</t>
  </si>
  <si>
    <t>MURO EJE H DESDE 3 HASTA 12</t>
  </si>
  <si>
    <t>MURO EJE 3 DESDE H HASTA I</t>
  </si>
  <si>
    <t>MURO EJE 8 DESDE H HASTA I</t>
  </si>
  <si>
    <t>MURO EJE 12 DESDE A HASTA B</t>
  </si>
  <si>
    <t>VENTANA</t>
  </si>
  <si>
    <t>PUERTA P1</t>
  </si>
  <si>
    <t>MURO EJE A, EJE E Y EJE I DESDE 1 HASTA 14</t>
  </si>
  <si>
    <t>MURO EJE A Y EJE I DESDE 1 HASTA 14</t>
  </si>
  <si>
    <t>BAÑOS HABITACION TIPO 1</t>
  </si>
  <si>
    <t>BAÑOS HABITACION TIPO 2</t>
  </si>
  <si>
    <t>HABITACION TIPO 1</t>
  </si>
  <si>
    <t>HABITACION TIPO 2</t>
  </si>
  <si>
    <t>PARED DUCHAS TIPO 1</t>
  </si>
  <si>
    <t>PARED DUCHAS TIPO 2</t>
  </si>
  <si>
    <t>PASILLO FRONTAL</t>
  </si>
  <si>
    <t>Ventana en lamina Cold rolled (2.00x1.90) Corrediza incluye vidrio</t>
  </si>
  <si>
    <t>Suministro e instalacion de caballete arquitectonico de Cal 28</t>
  </si>
  <si>
    <t xml:space="preserve">Caballete arquitectonico  prepintada </t>
  </si>
  <si>
    <t>Pasillo frontal</t>
  </si>
  <si>
    <t>SEMANA 5</t>
  </si>
  <si>
    <t>SEMANA 6</t>
  </si>
  <si>
    <t>MES 2</t>
  </si>
  <si>
    <t>Auxilio de transporte personal sueldo  &lt;  $ 3.501.810</t>
  </si>
  <si>
    <t>Ingeniero Civil</t>
  </si>
  <si>
    <t>Profesional SST</t>
  </si>
  <si>
    <t>Profesional Social</t>
  </si>
  <si>
    <t>Campamento</t>
  </si>
  <si>
    <t>Valla Informatica 2.00x1.00</t>
  </si>
  <si>
    <t>Maestro General</t>
  </si>
  <si>
    <t>AMPLIACIÓN DE MÓDULOS HABITACIONALES Y ÁREAS COMPLEMENTARIAS PARA CENTRO DE BIENESTAR EL BUEN SAMARITANO Y CENTRO DÍA DE PUERTO COLÓN DEL MUNICIPIO DE SAN MIGUEL, PUTUMAYO.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</si>
</sst>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(&quot;$&quot;\ * #,##0.000_);_(&quot;$&quot;\ * \(#,##0.000\);_(&quot;$&quot;\ * &quot;-&quot;??_);_(@_)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 &quot;$&quot;\ * #,##0_ ;_ &quot;$&quot;\ * \-#,##0_ ;_ &quot;$&quot;\ * &quot;-&quot;??_ ;_ @_ "/>
    <numFmt numFmtId="169" formatCode="_-&quot;$&quot;* #,##0_-;\-&quot;$&quot;* #,##0_-;_-&quot;$&quot;* &quot;-&quot;_-;_-@_-"/>
    <numFmt numFmtId="170" formatCode="_(&quot;$&quot;* #,##0.00_);_(&quot;$&quot;* \(#,##0.00\);_(&quot;$&quot;* &quot;-&quot;??_);_(@_)"/>
    <numFmt numFmtId="171" formatCode="_-&quot;$&quot;* #,##0.00_-;\-&quot;$&quot;* #,##0.00_-;_-&quot;$&quot;* &quot;-&quot;_-;_-@_-"/>
    <numFmt numFmtId="172" formatCode="_-* #,##0.00\ _€_-;\-* #,##0.00\ _€_-;_-* &quot;-&quot;??\ _€_-;_-@_-"/>
    <numFmt numFmtId="173" formatCode="_-[$$-240A]\ * #,##0.00_ ;_-[$$-240A]\ * \-#,##0.00\ ;_-[$$-240A]\ * &quot;-&quot;??_ ;_-@_ "/>
    <numFmt numFmtId="174" formatCode="#,##0.0"/>
    <numFmt numFmtId="175" formatCode="_-&quot;$&quot;* #,##0_-;\-&quot;$&quot;* #,##0_-;_-&quot;$&quot;* &quot;-&quot;??_-;_-@_-"/>
    <numFmt numFmtId="176" formatCode="_-&quot;$&quot;* #,##0.00_-;\-&quot;$&quot;* #,##0.00_-;_-&quot;$&quot;* &quot;-&quot;??_-;_-@_-"/>
    <numFmt numFmtId="177" formatCode="0.000"/>
    <numFmt numFmtId="178" formatCode="_-[$$-240A]\ * #,##0_ ;_-[$$-240A]\ * \-#,##0\ ;_-[$$-240A]\ * &quot;-&quot;??_ ;_-@_ "/>
    <numFmt numFmtId="179" formatCode="0.0%"/>
    <numFmt numFmtId="180" formatCode="0.00000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  <scheme val="minor"/>
    </font>
    <font>
      <b/>
      <sz val="10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i/>
      <sz val="11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Arial Narrow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3" fillId="0" borderId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9" fontId="13" fillId="0" borderId="0" applyFont="0" applyFill="0" applyBorder="0" applyAlignment="0" applyProtection="0"/>
    <xf numFmtId="0" fontId="13" fillId="0" borderId="0"/>
    <xf numFmtId="44" fontId="18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2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166" fontId="0" fillId="0" borderId="0" xfId="3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66" fontId="0" fillId="0" borderId="0" xfId="3" applyFont="1" applyAlignment="1">
      <alignment horizontal="left"/>
    </xf>
    <xf numFmtId="166" fontId="6" fillId="0" borderId="0" xfId="3" applyFont="1" applyAlignment="1">
      <alignment horizontal="left" vertical="center" wrapText="1"/>
    </xf>
    <xf numFmtId="8" fontId="6" fillId="0" borderId="0" xfId="0" applyNumberFormat="1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67" fontId="4" fillId="2" borderId="1" xfId="3" applyNumberFormat="1" applyFont="1" applyFill="1" applyBorder="1" applyAlignment="1">
      <alignment horizontal="center" vertical="center"/>
    </xf>
    <xf numFmtId="168" fontId="4" fillId="2" borderId="1" xfId="3" applyNumberFormat="1" applyFont="1" applyFill="1" applyBorder="1" applyAlignment="1">
      <alignment horizontal="center" vertical="center"/>
    </xf>
    <xf numFmtId="168" fontId="7" fillId="2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2" fillId="0" borderId="0" xfId="3" applyFont="1"/>
    <xf numFmtId="3" fontId="4" fillId="3" borderId="1" xfId="0" applyNumberFormat="1" applyFont="1" applyFill="1" applyBorder="1" applyAlignment="1">
      <alignment horizontal="center" vertical="center"/>
    </xf>
    <xf numFmtId="167" fontId="7" fillId="2" borderId="0" xfId="3" applyNumberFormat="1" applyFont="1" applyFill="1" applyBorder="1" applyAlignment="1">
      <alignment horizontal="center" vertical="center"/>
    </xf>
    <xf numFmtId="169" fontId="2" fillId="0" borderId="0" xfId="4" applyFont="1" applyFill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170" fontId="10" fillId="0" borderId="1" xfId="3" applyNumberFormat="1" applyFont="1" applyFill="1" applyBorder="1" applyAlignment="1">
      <alignment horizontal="center" vertical="center"/>
    </xf>
    <xf numFmtId="166" fontId="9" fillId="2" borderId="1" xfId="3" applyFont="1" applyFill="1" applyBorder="1" applyAlignment="1">
      <alignment horizontal="center" vertical="center"/>
    </xf>
    <xf numFmtId="169" fontId="2" fillId="0" borderId="0" xfId="4" applyFont="1" applyFill="1"/>
    <xf numFmtId="166" fontId="11" fillId="2" borderId="1" xfId="3" applyFont="1" applyFill="1" applyBorder="1" applyAlignment="1">
      <alignment horizontal="center" vertical="center"/>
    </xf>
    <xf numFmtId="168" fontId="12" fillId="2" borderId="0" xfId="3" applyNumberFormat="1" applyFont="1" applyFill="1" applyAlignment="1">
      <alignment horizontal="center" vertical="center"/>
    </xf>
    <xf numFmtId="168" fontId="12" fillId="0" borderId="0" xfId="3" applyNumberFormat="1" applyFont="1" applyFill="1" applyAlignment="1">
      <alignment horizontal="center" vertical="center"/>
    </xf>
    <xf numFmtId="166" fontId="7" fillId="2" borderId="0" xfId="3" applyFont="1" applyFill="1" applyBorder="1" applyAlignment="1">
      <alignment horizontal="center" vertical="center"/>
    </xf>
    <xf numFmtId="166" fontId="0" fillId="0" borderId="0" xfId="0" applyNumberFormat="1"/>
    <xf numFmtId="9" fontId="9" fillId="2" borderId="1" xfId="2" applyFont="1" applyFill="1" applyBorder="1"/>
    <xf numFmtId="171" fontId="9" fillId="2" borderId="1" xfId="4" applyNumberFormat="1" applyFont="1" applyFill="1" applyBorder="1"/>
    <xf numFmtId="166" fontId="14" fillId="0" borderId="0" xfId="3" applyFont="1" applyAlignment="1">
      <alignment horizontal="left"/>
    </xf>
    <xf numFmtId="166" fontId="1" fillId="0" borderId="0" xfId="3" applyFont="1" applyAlignment="1">
      <alignment horizontal="left"/>
    </xf>
    <xf numFmtId="173" fontId="5" fillId="0" borderId="1" xfId="0" applyNumberFormat="1" applyFont="1" applyBorder="1"/>
    <xf numFmtId="171" fontId="4" fillId="0" borderId="1" xfId="4" applyNumberFormat="1" applyFont="1" applyFill="1" applyBorder="1"/>
    <xf numFmtId="0" fontId="7" fillId="2" borderId="0" xfId="0" applyFont="1" applyFill="1" applyAlignment="1">
      <alignment horizontal="center" vertical="center" wrapText="1"/>
    </xf>
    <xf numFmtId="168" fontId="15" fillId="0" borderId="0" xfId="3" applyNumberFormat="1" applyFont="1" applyFill="1" applyAlignment="1">
      <alignment horizontal="left" vertical="center"/>
    </xf>
    <xf numFmtId="0" fontId="9" fillId="2" borderId="0" xfId="5" applyFont="1" applyFill="1"/>
    <xf numFmtId="167" fontId="9" fillId="2" borderId="20" xfId="3" applyNumberFormat="1" applyFont="1" applyFill="1" applyBorder="1" applyAlignment="1">
      <alignment horizontal="center" vertical="center"/>
    </xf>
    <xf numFmtId="168" fontId="9" fillId="2" borderId="20" xfId="3" applyNumberFormat="1" applyFont="1" applyFill="1" applyBorder="1" applyAlignment="1">
      <alignment horizontal="center" vertical="center"/>
    </xf>
    <xf numFmtId="4" fontId="9" fillId="2" borderId="20" xfId="5" applyNumberFormat="1" applyFont="1" applyFill="1" applyBorder="1"/>
    <xf numFmtId="3" fontId="4" fillId="2" borderId="0" xfId="5" applyNumberFormat="1" applyFont="1" applyFill="1"/>
    <xf numFmtId="3" fontId="9" fillId="2" borderId="0" xfId="5" applyNumberFormat="1" applyFont="1" applyFill="1"/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167" fontId="12" fillId="2" borderId="0" xfId="3" applyNumberFormat="1" applyFont="1" applyFill="1" applyAlignment="1">
      <alignment horizontal="center" vertical="center"/>
    </xf>
    <xf numFmtId="0" fontId="9" fillId="0" borderId="0" xfId="5" applyFont="1"/>
    <xf numFmtId="0" fontId="2" fillId="0" borderId="1" xfId="0" applyFont="1" applyBorder="1" applyAlignment="1">
      <alignment horizontal="center" vertical="center" wrapText="1"/>
    </xf>
    <xf numFmtId="164" fontId="4" fillId="3" borderId="24" xfId="5" applyNumberFormat="1" applyFont="1" applyFill="1" applyBorder="1" applyAlignment="1">
      <alignment horizontal="center" vertical="center"/>
    </xf>
    <xf numFmtId="0" fontId="4" fillId="3" borderId="27" xfId="5" applyFont="1" applyFill="1" applyBorder="1" applyAlignment="1">
      <alignment horizontal="center" vertical="center"/>
    </xf>
    <xf numFmtId="0" fontId="4" fillId="3" borderId="28" xfId="5" applyFont="1" applyFill="1" applyBorder="1" applyAlignment="1">
      <alignment horizontal="center" vertical="center"/>
    </xf>
    <xf numFmtId="0" fontId="9" fillId="2" borderId="21" xfId="5" applyFont="1" applyFill="1" applyBorder="1"/>
    <xf numFmtId="0" fontId="9" fillId="2" borderId="22" xfId="5" applyFont="1" applyFill="1" applyBorder="1"/>
    <xf numFmtId="0" fontId="4" fillId="2" borderId="1" xfId="5" applyFont="1" applyFill="1" applyBorder="1" applyAlignment="1">
      <alignment horizontal="center"/>
    </xf>
    <xf numFmtId="0" fontId="9" fillId="2" borderId="1" xfId="5" applyFont="1" applyFill="1" applyBorder="1" applyAlignment="1">
      <alignment horizontal="center"/>
    </xf>
    <xf numFmtId="0" fontId="9" fillId="2" borderId="1" xfId="5" applyFont="1" applyFill="1" applyBorder="1"/>
    <xf numFmtId="4" fontId="9" fillId="2" borderId="1" xfId="5" applyNumberFormat="1" applyFont="1" applyFill="1" applyBorder="1"/>
    <xf numFmtId="173" fontId="9" fillId="2" borderId="1" xfId="6" applyNumberFormat="1" applyFont="1" applyFill="1" applyBorder="1"/>
    <xf numFmtId="4" fontId="9" fillId="2" borderId="22" xfId="5" applyNumberFormat="1" applyFont="1" applyFill="1" applyBorder="1"/>
    <xf numFmtId="166" fontId="9" fillId="2" borderId="1" xfId="3" applyFont="1" applyFill="1" applyBorder="1"/>
    <xf numFmtId="44" fontId="9" fillId="2" borderId="1" xfId="7" applyFont="1" applyFill="1" applyBorder="1"/>
    <xf numFmtId="173" fontId="9" fillId="2" borderId="1" xfId="8" applyNumberFormat="1" applyFont="1" applyFill="1" applyBorder="1"/>
    <xf numFmtId="0" fontId="9" fillId="2" borderId="7" xfId="5" applyFont="1" applyFill="1" applyBorder="1"/>
    <xf numFmtId="4" fontId="9" fillId="2" borderId="0" xfId="5" applyNumberFormat="1" applyFont="1" applyFill="1"/>
    <xf numFmtId="173" fontId="9" fillId="2" borderId="22" xfId="6" applyNumberFormat="1" applyFont="1" applyFill="1" applyBorder="1"/>
    <xf numFmtId="2" fontId="9" fillId="2" borderId="22" xfId="5" applyNumberFormat="1" applyFont="1" applyFill="1" applyBorder="1"/>
    <xf numFmtId="4" fontId="9" fillId="2" borderId="1" xfId="5" applyNumberFormat="1" applyFont="1" applyFill="1" applyBorder="1" applyAlignment="1">
      <alignment horizontal="center"/>
    </xf>
    <xf numFmtId="2" fontId="9" fillId="2" borderId="1" xfId="5" applyNumberFormat="1" applyFont="1" applyFill="1" applyBorder="1" applyAlignment="1">
      <alignment horizontal="center"/>
    </xf>
    <xf numFmtId="166" fontId="9" fillId="2" borderId="22" xfId="3" applyFont="1" applyFill="1" applyBorder="1"/>
    <xf numFmtId="169" fontId="9" fillId="2" borderId="1" xfId="4" applyFont="1" applyFill="1" applyBorder="1"/>
    <xf numFmtId="9" fontId="9" fillId="2" borderId="1" xfId="5" applyNumberFormat="1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/>
    </xf>
    <xf numFmtId="174" fontId="9" fillId="2" borderId="1" xfId="5" applyNumberFormat="1" applyFont="1" applyFill="1" applyBorder="1"/>
    <xf numFmtId="3" fontId="9" fillId="2" borderId="1" xfId="5" applyNumberFormat="1" applyFont="1" applyFill="1" applyBorder="1"/>
    <xf numFmtId="0" fontId="4" fillId="2" borderId="0" xfId="5" applyFont="1" applyFill="1"/>
    <xf numFmtId="4" fontId="4" fillId="2" borderId="0" xfId="5" applyNumberFormat="1" applyFont="1" applyFill="1"/>
    <xf numFmtId="0" fontId="9" fillId="2" borderId="9" xfId="5" applyFont="1" applyFill="1" applyBorder="1"/>
    <xf numFmtId="0" fontId="9" fillId="2" borderId="20" xfId="5" applyFont="1" applyFill="1" applyBorder="1"/>
    <xf numFmtId="3" fontId="4" fillId="2" borderId="21" xfId="5" applyNumberFormat="1" applyFont="1" applyFill="1" applyBorder="1"/>
    <xf numFmtId="3" fontId="9" fillId="2" borderId="22" xfId="5" applyNumberFormat="1" applyFont="1" applyFill="1" applyBorder="1"/>
    <xf numFmtId="3" fontId="9" fillId="2" borderId="21" xfId="5" applyNumberFormat="1" applyFont="1" applyFill="1" applyBorder="1"/>
    <xf numFmtId="3" fontId="9" fillId="2" borderId="9" xfId="5" applyNumberFormat="1" applyFont="1" applyFill="1" applyBorder="1"/>
    <xf numFmtId="3" fontId="9" fillId="2" borderId="20" xfId="5" applyNumberFormat="1" applyFont="1" applyFill="1" applyBorder="1"/>
    <xf numFmtId="3" fontId="9" fillId="2" borderId="10" xfId="5" applyNumberFormat="1" applyFont="1" applyFill="1" applyBorder="1"/>
    <xf numFmtId="164" fontId="4" fillId="3" borderId="27" xfId="5" applyNumberFormat="1" applyFont="1" applyFill="1" applyBorder="1" applyAlignment="1">
      <alignment horizontal="center" vertical="center"/>
    </xf>
    <xf numFmtId="2" fontId="9" fillId="2" borderId="1" xfId="5" applyNumberFormat="1" applyFont="1" applyFill="1" applyBorder="1" applyAlignment="1">
      <alignment horizontal="center" vertical="center"/>
    </xf>
    <xf numFmtId="4" fontId="9" fillId="2" borderId="1" xfId="5" applyNumberFormat="1" applyFont="1" applyFill="1" applyBorder="1" applyAlignment="1">
      <alignment horizontal="center" vertical="center"/>
    </xf>
    <xf numFmtId="44" fontId="9" fillId="2" borderId="1" xfId="7" applyFont="1" applyFill="1" applyBorder="1" applyAlignment="1">
      <alignment vertical="center"/>
    </xf>
    <xf numFmtId="4" fontId="13" fillId="0" borderId="14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0" fillId="0" borderId="32" xfId="0" applyBorder="1"/>
    <xf numFmtId="4" fontId="13" fillId="0" borderId="17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5" fillId="0" borderId="0" xfId="9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2" fontId="5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2" fontId="5" fillId="2" borderId="0" xfId="0" applyNumberFormat="1" applyFont="1" applyFill="1" applyAlignment="1">
      <alignment horizontal="center" vertical="center"/>
    </xf>
    <xf numFmtId="0" fontId="2" fillId="2" borderId="0" xfId="0" applyFont="1" applyFill="1"/>
    <xf numFmtId="168" fontId="12" fillId="2" borderId="0" xfId="3" applyNumberFormat="1" applyFont="1" applyFill="1" applyBorder="1" applyAlignment="1">
      <alignment horizontal="center" vertical="center"/>
    </xf>
    <xf numFmtId="0" fontId="0" fillId="2" borderId="0" xfId="0" applyFill="1"/>
    <xf numFmtId="167" fontId="12" fillId="2" borderId="0" xfId="3" applyNumberFormat="1" applyFont="1" applyFill="1" applyBorder="1" applyAlignment="1">
      <alignment horizontal="center" vertical="center"/>
    </xf>
    <xf numFmtId="44" fontId="9" fillId="2" borderId="22" xfId="1" applyFont="1" applyFill="1" applyBorder="1"/>
    <xf numFmtId="166" fontId="9" fillId="2" borderId="1" xfId="3" applyFont="1" applyFill="1" applyBorder="1" applyAlignment="1">
      <alignment vertical="center"/>
    </xf>
    <xf numFmtId="0" fontId="3" fillId="0" borderId="35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0" fontId="7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 wrapText="1"/>
    </xf>
    <xf numFmtId="167" fontId="7" fillId="3" borderId="1" xfId="3" applyNumberFormat="1" applyFont="1" applyFill="1" applyBorder="1" applyAlignment="1">
      <alignment horizontal="center" vertical="center"/>
    </xf>
    <xf numFmtId="166" fontId="0" fillId="3" borderId="1" xfId="3" applyFont="1" applyFill="1" applyBorder="1"/>
    <xf numFmtId="10" fontId="7" fillId="2" borderId="1" xfId="2" applyNumberFormat="1" applyFont="1" applyFill="1" applyBorder="1" applyAlignment="1">
      <alignment horizontal="center" vertical="center"/>
    </xf>
    <xf numFmtId="169" fontId="2" fillId="0" borderId="1" xfId="4" applyFont="1" applyFill="1" applyBorder="1"/>
    <xf numFmtId="168" fontId="12" fillId="3" borderId="1" xfId="3" applyNumberFormat="1" applyFont="1" applyFill="1" applyBorder="1" applyAlignment="1">
      <alignment horizontal="center" vertical="center"/>
    </xf>
    <xf numFmtId="168" fontId="12" fillId="0" borderId="1" xfId="3" applyNumberFormat="1" applyFont="1" applyFill="1" applyBorder="1" applyAlignment="1">
      <alignment horizontal="center" vertical="center"/>
    </xf>
    <xf numFmtId="176" fontId="7" fillId="0" borderId="1" xfId="10" applyNumberFormat="1" applyFont="1" applyFill="1" applyBorder="1" applyAlignment="1">
      <alignment horizontal="center"/>
    </xf>
    <xf numFmtId="9" fontId="12" fillId="2" borderId="1" xfId="0" applyNumberFormat="1" applyFont="1" applyFill="1" applyBorder="1" applyAlignment="1">
      <alignment horizontal="right" vertical="center"/>
    </xf>
    <xf numFmtId="166" fontId="2" fillId="0" borderId="1" xfId="0" applyNumberFormat="1" applyFont="1" applyBorder="1"/>
    <xf numFmtId="10" fontId="12" fillId="0" borderId="1" xfId="6" applyNumberFormat="1" applyFont="1" applyFill="1" applyBorder="1"/>
    <xf numFmtId="176" fontId="12" fillId="0" borderId="1" xfId="10" applyNumberFormat="1" applyFont="1" applyFill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10" fontId="12" fillId="0" borderId="1" xfId="2" applyNumberFormat="1" applyFont="1" applyFill="1" applyBorder="1"/>
    <xf numFmtId="10" fontId="7" fillId="0" borderId="1" xfId="2" applyNumberFormat="1" applyFont="1" applyFill="1" applyBorder="1"/>
    <xf numFmtId="0" fontId="12" fillId="0" borderId="0" xfId="0" applyFont="1"/>
    <xf numFmtId="4" fontId="3" fillId="0" borderId="1" xfId="0" applyNumberFormat="1" applyFont="1" applyBorder="1" applyAlignment="1">
      <alignment vertical="center" wrapText="1"/>
    </xf>
    <xf numFmtId="4" fontId="12" fillId="0" borderId="36" xfId="0" applyNumberFormat="1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/>
    </xf>
    <xf numFmtId="3" fontId="4" fillId="3" borderId="43" xfId="0" applyNumberFormat="1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10" fontId="7" fillId="0" borderId="40" xfId="10" applyNumberFormat="1" applyFont="1" applyFill="1" applyBorder="1"/>
    <xf numFmtId="10" fontId="12" fillId="0" borderId="41" xfId="6" applyNumberFormat="1" applyFont="1" applyFill="1" applyBorder="1"/>
    <xf numFmtId="10" fontId="12" fillId="0" borderId="41" xfId="2" applyNumberFormat="1" applyFont="1" applyFill="1" applyBorder="1"/>
    <xf numFmtId="166" fontId="7" fillId="0" borderId="38" xfId="0" applyNumberFormat="1" applyFont="1" applyBorder="1" applyAlignment="1">
      <alignment horizontal="center"/>
    </xf>
    <xf numFmtId="10" fontId="7" fillId="0" borderId="45" xfId="2" applyNumberFormat="1" applyFont="1" applyFill="1" applyBorder="1"/>
    <xf numFmtId="0" fontId="3" fillId="0" borderId="33" xfId="0" applyFont="1" applyBorder="1" applyAlignment="1">
      <alignment wrapText="1"/>
    </xf>
    <xf numFmtId="4" fontId="3" fillId="0" borderId="7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0" fontId="4" fillId="0" borderId="0" xfId="5" applyFont="1" applyAlignment="1">
      <alignment wrapText="1"/>
    </xf>
    <xf numFmtId="0" fontId="9" fillId="0" borderId="0" xfId="5" applyFont="1" applyAlignment="1">
      <alignment horizontal="left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2" borderId="36" xfId="5" applyFont="1" applyFill="1" applyBorder="1"/>
    <xf numFmtId="2" fontId="9" fillId="2" borderId="0" xfId="5" applyNumberFormat="1" applyFont="1" applyFill="1"/>
    <xf numFmtId="2" fontId="9" fillId="2" borderId="37" xfId="5" applyNumberFormat="1" applyFont="1" applyFill="1" applyBorder="1"/>
    <xf numFmtId="2" fontId="4" fillId="2" borderId="54" xfId="5" quotePrefix="1" applyNumberFormat="1" applyFont="1" applyFill="1" applyBorder="1" applyAlignment="1">
      <alignment horizontal="center"/>
    </xf>
    <xf numFmtId="0" fontId="4" fillId="2" borderId="43" xfId="5" applyFont="1" applyFill="1" applyBorder="1"/>
    <xf numFmtId="2" fontId="9" fillId="2" borderId="1" xfId="5" applyNumberFormat="1" applyFont="1" applyFill="1" applyBorder="1"/>
    <xf numFmtId="2" fontId="9" fillId="2" borderId="41" xfId="5" applyNumberFormat="1" applyFont="1" applyFill="1" applyBorder="1"/>
    <xf numFmtId="0" fontId="9" fillId="2" borderId="1" xfId="5" quotePrefix="1" applyFont="1" applyFill="1" applyBorder="1" applyAlignment="1">
      <alignment horizontal="center"/>
    </xf>
    <xf numFmtId="2" fontId="9" fillId="2" borderId="1" xfId="11" applyNumberFormat="1" applyFont="1" applyFill="1" applyBorder="1" applyAlignment="1">
      <alignment horizontal="center"/>
    </xf>
    <xf numFmtId="2" fontId="9" fillId="2" borderId="41" xfId="11" applyNumberFormat="1" applyFont="1" applyFill="1" applyBorder="1"/>
    <xf numFmtId="0" fontId="9" fillId="2" borderId="1" xfId="11" quotePrefix="1" applyFont="1" applyFill="1" applyBorder="1" applyAlignment="1">
      <alignment horizontal="center"/>
    </xf>
    <xf numFmtId="2" fontId="4" fillId="2" borderId="41" xfId="5" applyNumberFormat="1" applyFont="1" applyFill="1" applyBorder="1"/>
    <xf numFmtId="0" fontId="9" fillId="2" borderId="44" xfId="5" applyFont="1" applyFill="1" applyBorder="1"/>
    <xf numFmtId="0" fontId="9" fillId="2" borderId="38" xfId="5" applyFont="1" applyFill="1" applyBorder="1"/>
    <xf numFmtId="2" fontId="4" fillId="2" borderId="38" xfId="5" applyNumberFormat="1" applyFont="1" applyFill="1" applyBorder="1" applyAlignment="1">
      <alignment horizontal="center"/>
    </xf>
    <xf numFmtId="2" fontId="4" fillId="2" borderId="45" xfId="5" applyNumberFormat="1" applyFont="1" applyFill="1" applyBorder="1"/>
    <xf numFmtId="0" fontId="9" fillId="2" borderId="11" xfId="5" applyFont="1" applyFill="1" applyBorder="1"/>
    <xf numFmtId="0" fontId="9" fillId="2" borderId="12" xfId="5" applyFont="1" applyFill="1" applyBorder="1"/>
    <xf numFmtId="0" fontId="9" fillId="2" borderId="12" xfId="5" applyFont="1" applyFill="1" applyBorder="1" applyAlignment="1">
      <alignment horizontal="right"/>
    </xf>
    <xf numFmtId="2" fontId="9" fillId="2" borderId="12" xfId="5" applyNumberFormat="1" applyFont="1" applyFill="1" applyBorder="1"/>
    <xf numFmtId="2" fontId="9" fillId="2" borderId="13" xfId="5" applyNumberFormat="1" applyFont="1" applyFill="1" applyBorder="1"/>
    <xf numFmtId="0" fontId="2" fillId="0" borderId="36" xfId="0" applyFont="1" applyBorder="1"/>
    <xf numFmtId="4" fontId="9" fillId="2" borderId="55" xfId="5" applyNumberFormat="1" applyFont="1" applyFill="1" applyBorder="1"/>
    <xf numFmtId="3" fontId="9" fillId="2" borderId="37" xfId="5" applyNumberFormat="1" applyFont="1" applyFill="1" applyBorder="1"/>
    <xf numFmtId="3" fontId="4" fillId="2" borderId="36" xfId="5" applyNumberFormat="1" applyFont="1" applyFill="1" applyBorder="1"/>
    <xf numFmtId="3" fontId="9" fillId="2" borderId="14" xfId="5" applyNumberFormat="1" applyFont="1" applyFill="1" applyBorder="1"/>
    <xf numFmtId="0" fontId="12" fillId="2" borderId="15" xfId="0" applyFont="1" applyFill="1" applyBorder="1" applyAlignment="1">
      <alignment horizontal="center" vertical="center"/>
    </xf>
    <xf numFmtId="3" fontId="9" fillId="2" borderId="15" xfId="5" applyNumberFormat="1" applyFont="1" applyFill="1" applyBorder="1"/>
    <xf numFmtId="3" fontId="9" fillId="2" borderId="16" xfId="5" applyNumberFormat="1" applyFont="1" applyFill="1" applyBorder="1"/>
    <xf numFmtId="0" fontId="3" fillId="0" borderId="35" xfId="9" applyFont="1" applyBorder="1" applyAlignment="1">
      <alignment horizontal="center" vertical="center"/>
    </xf>
    <xf numFmtId="173" fontId="3" fillId="0" borderId="35" xfId="9" applyNumberFormat="1" applyFont="1" applyBorder="1" applyAlignment="1">
      <alignment horizontal="center" vertical="center"/>
    </xf>
    <xf numFmtId="0" fontId="2" fillId="0" borderId="0" xfId="9" applyFont="1" applyAlignment="1">
      <alignment horizontal="center"/>
    </xf>
    <xf numFmtId="0" fontId="20" fillId="0" borderId="0" xfId="9" applyFont="1"/>
    <xf numFmtId="0" fontId="3" fillId="0" borderId="1" xfId="9" applyFont="1" applyBorder="1" applyAlignment="1">
      <alignment horizontal="center" vertical="center"/>
    </xf>
    <xf numFmtId="173" fontId="3" fillId="0" borderId="1" xfId="9" applyNumberFormat="1" applyFont="1" applyBorder="1" applyAlignment="1">
      <alignment horizontal="center" vertical="center"/>
    </xf>
    <xf numFmtId="14" fontId="3" fillId="0" borderId="1" xfId="9" applyNumberFormat="1" applyFont="1" applyBorder="1" applyAlignment="1">
      <alignment horizontal="center" vertical="center"/>
    </xf>
    <xf numFmtId="0" fontId="2" fillId="0" borderId="36" xfId="9" applyFont="1" applyBorder="1" applyAlignment="1">
      <alignment vertical="center"/>
    </xf>
    <xf numFmtId="0" fontId="3" fillId="0" borderId="0" xfId="9" applyFont="1" applyAlignment="1">
      <alignment vertical="center"/>
    </xf>
    <xf numFmtId="173" fontId="3" fillId="0" borderId="0" xfId="9" applyNumberFormat="1" applyFont="1" applyAlignment="1">
      <alignment vertical="center"/>
    </xf>
    <xf numFmtId="0" fontId="3" fillId="0" borderId="37" xfId="9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9" applyFont="1" applyAlignment="1">
      <alignment horizontal="center" wrapText="1"/>
    </xf>
    <xf numFmtId="0" fontId="2" fillId="0" borderId="36" xfId="9" applyFont="1" applyBorder="1"/>
    <xf numFmtId="0" fontId="2" fillId="0" borderId="0" xfId="9" applyFont="1"/>
    <xf numFmtId="173" fontId="2" fillId="0" borderId="0" xfId="9" applyNumberFormat="1" applyFont="1"/>
    <xf numFmtId="0" fontId="2" fillId="0" borderId="37" xfId="9" applyFont="1" applyBorder="1"/>
    <xf numFmtId="0" fontId="3" fillId="4" borderId="0" xfId="9" applyFont="1" applyFill="1" applyAlignment="1">
      <alignment horizontal="center" vertical="center"/>
    </xf>
    <xf numFmtId="0" fontId="3" fillId="0" borderId="43" xfId="9" applyFont="1" applyBorder="1" applyAlignment="1">
      <alignment vertical="center"/>
    </xf>
    <xf numFmtId="0" fontId="3" fillId="0" borderId="1" xfId="9" applyFont="1" applyBorder="1" applyAlignment="1">
      <alignment horizontal="left" vertical="center"/>
    </xf>
    <xf numFmtId="0" fontId="3" fillId="0" borderId="0" xfId="9" applyFont="1" applyAlignment="1">
      <alignment horizontal="center" vertical="center"/>
    </xf>
    <xf numFmtId="0" fontId="2" fillId="0" borderId="43" xfId="9" applyFont="1" applyBorder="1" applyAlignment="1">
      <alignment vertical="center"/>
    </xf>
    <xf numFmtId="44" fontId="2" fillId="0" borderId="1" xfId="12" applyFont="1" applyBorder="1" applyAlignment="1">
      <alignment vertical="center"/>
    </xf>
    <xf numFmtId="44" fontId="2" fillId="0" borderId="0" xfId="12" applyFont="1" applyBorder="1" applyAlignment="1">
      <alignment horizontal="center" vertical="center"/>
    </xf>
    <xf numFmtId="0" fontId="3" fillId="4" borderId="0" xfId="9" applyFont="1" applyFill="1" applyAlignment="1">
      <alignment horizontal="center"/>
    </xf>
    <xf numFmtId="0" fontId="3" fillId="0" borderId="43" xfId="9" applyFont="1" applyBorder="1" applyAlignment="1">
      <alignment horizontal="center" vertical="center" wrapText="1"/>
    </xf>
    <xf numFmtId="0" fontId="3" fillId="0" borderId="1" xfId="9" applyFont="1" applyBorder="1" applyAlignment="1">
      <alignment horizontal="center" vertical="center" wrapText="1"/>
    </xf>
    <xf numFmtId="173" fontId="3" fillId="0" borderId="1" xfId="9" applyNumberFormat="1" applyFont="1" applyBorder="1" applyAlignment="1">
      <alignment horizontal="center" vertical="center" wrapText="1"/>
    </xf>
    <xf numFmtId="0" fontId="3" fillId="0" borderId="41" xfId="9" applyFont="1" applyBorder="1" applyAlignment="1">
      <alignment horizontal="center" vertical="center" wrapText="1"/>
    </xf>
    <xf numFmtId="0" fontId="3" fillId="0" borderId="0" xfId="9" applyFont="1" applyAlignment="1">
      <alignment horizontal="center" vertical="center" wrapText="1"/>
    </xf>
    <xf numFmtId="0" fontId="2" fillId="0" borderId="43" xfId="9" applyFont="1" applyBorder="1"/>
    <xf numFmtId="166" fontId="2" fillId="0" borderId="1" xfId="13" applyNumberFormat="1" applyFont="1" applyBorder="1"/>
    <xf numFmtId="9" fontId="2" fillId="0" borderId="1" xfId="9" applyNumberFormat="1" applyFont="1" applyBorder="1" applyAlignment="1">
      <alignment horizontal="center"/>
    </xf>
    <xf numFmtId="0" fontId="2" fillId="0" borderId="1" xfId="9" applyFont="1" applyBorder="1" applyAlignment="1">
      <alignment horizontal="center"/>
    </xf>
    <xf numFmtId="173" fontId="2" fillId="0" borderId="1" xfId="9" applyNumberFormat="1" applyFont="1" applyBorder="1"/>
    <xf numFmtId="10" fontId="2" fillId="0" borderId="41" xfId="9" applyNumberFormat="1" applyFont="1" applyBorder="1" applyAlignment="1">
      <alignment horizontal="right" vertical="center"/>
    </xf>
    <xf numFmtId="173" fontId="3" fillId="0" borderId="1" xfId="9" applyNumberFormat="1" applyFont="1" applyBorder="1" applyAlignment="1">
      <alignment vertical="center" wrapText="1"/>
    </xf>
    <xf numFmtId="0" fontId="3" fillId="0" borderId="41" xfId="9" applyFont="1" applyBorder="1" applyAlignment="1">
      <alignment vertical="center" wrapText="1"/>
    </xf>
    <xf numFmtId="0" fontId="2" fillId="0" borderId="1" xfId="9" applyFont="1" applyBorder="1"/>
    <xf numFmtId="173" fontId="2" fillId="0" borderId="1" xfId="12" applyNumberFormat="1" applyFont="1" applyBorder="1" applyAlignment="1">
      <alignment vertical="center" wrapText="1"/>
    </xf>
    <xf numFmtId="10" fontId="2" fillId="0" borderId="41" xfId="9" applyNumberFormat="1" applyFont="1" applyBorder="1" applyAlignment="1">
      <alignment vertical="center" wrapText="1"/>
    </xf>
    <xf numFmtId="178" fontId="2" fillId="0" borderId="1" xfId="9" applyNumberFormat="1" applyFont="1" applyBorder="1"/>
    <xf numFmtId="0" fontId="2" fillId="0" borderId="41" xfId="9" applyFont="1" applyBorder="1"/>
    <xf numFmtId="173" fontId="2" fillId="0" borderId="1" xfId="14" applyNumberFormat="1" applyFont="1" applyBorder="1" applyAlignment="1">
      <alignment vertical="center"/>
    </xf>
    <xf numFmtId="10" fontId="2" fillId="0" borderId="41" xfId="9" applyNumberFormat="1" applyFont="1" applyBorder="1" applyAlignment="1">
      <alignment vertical="center"/>
    </xf>
    <xf numFmtId="178" fontId="2" fillId="0" borderId="41" xfId="9" applyNumberFormat="1" applyFont="1" applyBorder="1"/>
    <xf numFmtId="173" fontId="2" fillId="0" borderId="1" xfId="9" applyNumberFormat="1" applyFont="1" applyBorder="1" applyAlignment="1">
      <alignment vertical="center"/>
    </xf>
    <xf numFmtId="179" fontId="2" fillId="0" borderId="41" xfId="9" applyNumberFormat="1" applyFont="1" applyBorder="1" applyAlignment="1">
      <alignment vertical="center"/>
    </xf>
    <xf numFmtId="173" fontId="3" fillId="5" borderId="1" xfId="12" applyNumberFormat="1" applyFont="1" applyFill="1" applyBorder="1" applyAlignment="1">
      <alignment horizontal="left"/>
    </xf>
    <xf numFmtId="44" fontId="20" fillId="0" borderId="0" xfId="9" applyNumberFormat="1" applyFont="1"/>
    <xf numFmtId="0" fontId="3" fillId="0" borderId="36" xfId="9" applyFont="1" applyBorder="1" applyAlignment="1">
      <alignment horizontal="right"/>
    </xf>
    <xf numFmtId="0" fontId="3" fillId="0" borderId="0" xfId="9" applyFont="1" applyAlignment="1">
      <alignment horizontal="right"/>
    </xf>
    <xf numFmtId="173" fontId="3" fillId="0" borderId="0" xfId="12" applyNumberFormat="1" applyFont="1" applyFill="1" applyBorder="1" applyAlignment="1"/>
    <xf numFmtId="180" fontId="3" fillId="0" borderId="37" xfId="9" applyNumberFormat="1" applyFont="1" applyBorder="1"/>
    <xf numFmtId="0" fontId="3" fillId="0" borderId="1" xfId="9" applyFont="1" applyBorder="1" applyAlignment="1">
      <alignment vertical="center"/>
    </xf>
    <xf numFmtId="0" fontId="3" fillId="0" borderId="41" xfId="9" applyFont="1" applyBorder="1" applyAlignment="1">
      <alignment vertical="center"/>
    </xf>
    <xf numFmtId="9" fontId="2" fillId="0" borderId="41" xfId="9" applyNumberFormat="1" applyFont="1" applyBorder="1" applyAlignment="1">
      <alignment horizontal="center"/>
    </xf>
    <xf numFmtId="9" fontId="3" fillId="5" borderId="41" xfId="9" applyNumberFormat="1" applyFont="1" applyFill="1" applyBorder="1" applyAlignment="1">
      <alignment horizontal="center"/>
    </xf>
    <xf numFmtId="173" fontId="3" fillId="0" borderId="0" xfId="9" applyNumberFormat="1" applyFont="1" applyAlignment="1">
      <alignment horizontal="center"/>
    </xf>
    <xf numFmtId="9" fontId="3" fillId="0" borderId="37" xfId="9" applyNumberFormat="1" applyFont="1" applyBorder="1" applyAlignment="1">
      <alignment horizontal="center"/>
    </xf>
    <xf numFmtId="9" fontId="2" fillId="0" borderId="41" xfId="15" applyFont="1" applyBorder="1" applyAlignment="1">
      <alignment horizontal="center"/>
    </xf>
    <xf numFmtId="166" fontId="2" fillId="0" borderId="0" xfId="3" applyFont="1" applyBorder="1" applyAlignment="1">
      <alignment horizontal="center"/>
    </xf>
    <xf numFmtId="166" fontId="20" fillId="0" borderId="0" xfId="3" applyFont="1"/>
    <xf numFmtId="173" fontId="20" fillId="0" borderId="0" xfId="9" applyNumberFormat="1" applyFont="1"/>
    <xf numFmtId="9" fontId="2" fillId="0" borderId="0" xfId="15" applyFont="1" applyBorder="1" applyAlignment="1">
      <alignment horizontal="center"/>
    </xf>
    <xf numFmtId="10" fontId="3" fillId="5" borderId="41" xfId="9" applyNumberFormat="1" applyFont="1" applyFill="1" applyBorder="1"/>
    <xf numFmtId="0" fontId="12" fillId="0" borderId="43" xfId="0" applyFont="1" applyBorder="1" applyAlignment="1">
      <alignment wrapText="1"/>
    </xf>
    <xf numFmtId="166" fontId="0" fillId="3" borderId="41" xfId="3" applyFont="1" applyFill="1" applyBorder="1"/>
    <xf numFmtId="44" fontId="7" fillId="0" borderId="38" xfId="0" applyNumberFormat="1" applyFont="1" applyBorder="1"/>
    <xf numFmtId="10" fontId="7" fillId="0" borderId="38" xfId="0" applyNumberFormat="1" applyFont="1" applyBorder="1"/>
    <xf numFmtId="166" fontId="4" fillId="2" borderId="1" xfId="3" applyFont="1" applyFill="1" applyBorder="1" applyAlignment="1">
      <alignment horizontal="center" vertical="center"/>
    </xf>
    <xf numFmtId="10" fontId="3" fillId="5" borderId="41" xfId="9" applyNumberFormat="1" applyFont="1" applyFill="1" applyBorder="1" applyAlignment="1">
      <alignment horizontal="center"/>
    </xf>
    <xf numFmtId="169" fontId="2" fillId="0" borderId="1" xfId="4" applyFont="1" applyFill="1" applyBorder="1" applyAlignment="1">
      <alignment horizontal="center"/>
    </xf>
    <xf numFmtId="9" fontId="7" fillId="2" borderId="1" xfId="2" applyFont="1" applyFill="1" applyBorder="1" applyAlignment="1">
      <alignment horizontal="center" vertical="center"/>
    </xf>
    <xf numFmtId="168" fontId="7" fillId="0" borderId="1" xfId="3" applyNumberFormat="1" applyFont="1" applyFill="1" applyBorder="1" applyAlignment="1">
      <alignment horizontal="center" vertical="center"/>
    </xf>
    <xf numFmtId="9" fontId="3" fillId="0" borderId="1" xfId="2" applyFont="1" applyBorder="1" applyAlignment="1">
      <alignment horizontal="center"/>
    </xf>
    <xf numFmtId="166" fontId="3" fillId="0" borderId="1" xfId="3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44" fontId="3" fillId="0" borderId="1" xfId="0" applyNumberFormat="1" applyFont="1" applyBorder="1" applyAlignment="1">
      <alignment horizontal="center"/>
    </xf>
    <xf numFmtId="0" fontId="9" fillId="2" borderId="1" xfId="5" applyFont="1" applyFill="1" applyBorder="1" applyAlignment="1">
      <alignment horizontal="center" vertical="center" wrapText="1"/>
    </xf>
    <xf numFmtId="4" fontId="9" fillId="2" borderId="1" xfId="5" applyNumberFormat="1" applyFont="1" applyFill="1" applyBorder="1" applyAlignment="1">
      <alignment horizontal="center" vertical="center" wrapText="1"/>
    </xf>
    <xf numFmtId="44" fontId="9" fillId="2" borderId="1" xfId="17" applyFont="1" applyFill="1" applyBorder="1" applyAlignment="1">
      <alignment vertical="center"/>
    </xf>
    <xf numFmtId="44" fontId="9" fillId="2" borderId="1" xfId="17" applyFont="1" applyFill="1" applyBorder="1"/>
    <xf numFmtId="173" fontId="9" fillId="2" borderId="1" xfId="18" applyNumberFormat="1" applyFont="1" applyFill="1" applyBorder="1"/>
    <xf numFmtId="2" fontId="4" fillId="3" borderId="27" xfId="5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0" fillId="0" borderId="0" xfId="0" applyNumberFormat="1"/>
    <xf numFmtId="0" fontId="5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66" fontId="9" fillId="2" borderId="1" xfId="3" applyFont="1" applyFill="1" applyBorder="1" applyAlignment="1">
      <alignment horizontal="center"/>
    </xf>
    <xf numFmtId="0" fontId="9" fillId="2" borderId="1" xfId="5" applyFont="1" applyFill="1" applyBorder="1" applyAlignment="1">
      <alignment horizontal="center" vertical="center"/>
    </xf>
    <xf numFmtId="4" fontId="9" fillId="2" borderId="1" xfId="5" applyNumberFormat="1" applyFont="1" applyFill="1" applyBorder="1" applyAlignment="1">
      <alignment vertical="center"/>
    </xf>
    <xf numFmtId="0" fontId="5" fillId="0" borderId="23" xfId="0" applyFont="1" applyBorder="1" applyAlignment="1">
      <alignment horizontal="right" vertical="center"/>
    </xf>
    <xf numFmtId="2" fontId="5" fillId="0" borderId="5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2" fontId="5" fillId="0" borderId="2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9" fontId="7" fillId="2" borderId="6" xfId="2" applyFont="1" applyFill="1" applyBorder="1" applyAlignment="1">
      <alignment horizontal="center" vertical="center"/>
    </xf>
    <xf numFmtId="168" fontId="7" fillId="0" borderId="6" xfId="3" applyNumberFormat="1" applyFont="1" applyFill="1" applyBorder="1" applyAlignment="1">
      <alignment horizontal="center" vertical="center"/>
    </xf>
    <xf numFmtId="9" fontId="3" fillId="0" borderId="6" xfId="2" applyFont="1" applyBorder="1" applyAlignment="1">
      <alignment horizontal="center"/>
    </xf>
    <xf numFmtId="166" fontId="3" fillId="0" borderId="6" xfId="3" applyFont="1" applyBorder="1" applyAlignment="1">
      <alignment horizontal="center"/>
    </xf>
    <xf numFmtId="9" fontId="3" fillId="0" borderId="6" xfId="0" applyNumberFormat="1" applyFont="1" applyBorder="1" applyAlignment="1">
      <alignment horizontal="center"/>
    </xf>
    <xf numFmtId="44" fontId="3" fillId="0" borderId="6" xfId="0" applyNumberFormat="1" applyFont="1" applyBorder="1" applyAlignment="1">
      <alignment horizontal="center"/>
    </xf>
    <xf numFmtId="166" fontId="0" fillId="0" borderId="0" xfId="3" applyFont="1" applyBorder="1" applyAlignment="1">
      <alignment horizontal="center"/>
    </xf>
    <xf numFmtId="169" fontId="2" fillId="0" borderId="0" xfId="4" applyFont="1" applyFill="1" applyBorder="1" applyAlignment="1">
      <alignment horizontal="center"/>
    </xf>
    <xf numFmtId="173" fontId="9" fillId="0" borderId="1" xfId="6" applyNumberFormat="1" applyFont="1" applyFill="1" applyBorder="1"/>
    <xf numFmtId="166" fontId="9" fillId="2" borderId="22" xfId="3" applyFont="1" applyFill="1" applyBorder="1" applyAlignment="1">
      <alignment horizontal="center"/>
    </xf>
    <xf numFmtId="169" fontId="2" fillId="0" borderId="6" xfId="4" applyFont="1" applyFill="1" applyBorder="1" applyAlignment="1">
      <alignment horizontal="center"/>
    </xf>
    <xf numFmtId="0" fontId="5" fillId="0" borderId="1" xfId="0" applyFont="1" applyBorder="1" applyAlignment="1">
      <alignment vertical="center"/>
    </xf>
    <xf numFmtId="166" fontId="9" fillId="2" borderId="1" xfId="3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2" fontId="8" fillId="0" borderId="1" xfId="0" applyNumberFormat="1" applyFont="1" applyBorder="1"/>
    <xf numFmtId="2" fontId="4" fillId="2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2" fillId="0" borderId="2" xfId="0" applyFont="1" applyBorder="1"/>
    <xf numFmtId="166" fontId="0" fillId="3" borderId="2" xfId="3" applyFont="1" applyFill="1" applyBorder="1"/>
    <xf numFmtId="166" fontId="0" fillId="0" borderId="2" xfId="3" applyFont="1" applyBorder="1"/>
    <xf numFmtId="166" fontId="2" fillId="3" borderId="2" xfId="3" applyFont="1" applyFill="1" applyBorder="1"/>
    <xf numFmtId="0" fontId="2" fillId="0" borderId="1" xfId="0" applyFont="1" applyBorder="1"/>
    <xf numFmtId="175" fontId="2" fillId="0" borderId="1" xfId="0" applyNumberFormat="1" applyFont="1" applyBorder="1"/>
    <xf numFmtId="44" fontId="3" fillId="0" borderId="1" xfId="0" applyNumberFormat="1" applyFont="1" applyBorder="1" applyAlignment="1">
      <alignment vertical="center"/>
    </xf>
    <xf numFmtId="166" fontId="2" fillId="0" borderId="1" xfId="3" applyFont="1" applyFill="1" applyBorder="1"/>
    <xf numFmtId="166" fontId="2" fillId="0" borderId="2" xfId="3" applyFont="1" applyFill="1" applyBorder="1"/>
    <xf numFmtId="176" fontId="3" fillId="0" borderId="1" xfId="0" applyNumberFormat="1" applyFont="1" applyBorder="1"/>
    <xf numFmtId="44" fontId="3" fillId="0" borderId="2" xfId="0" applyNumberFormat="1" applyFont="1" applyBorder="1" applyAlignment="1">
      <alignment vertical="center"/>
    </xf>
    <xf numFmtId="175" fontId="2" fillId="3" borderId="1" xfId="0" applyNumberFormat="1" applyFont="1" applyFill="1" applyBorder="1"/>
    <xf numFmtId="0" fontId="2" fillId="0" borderId="38" xfId="0" applyFont="1" applyBorder="1"/>
    <xf numFmtId="0" fontId="7" fillId="0" borderId="3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3" applyFont="1" applyFill="1" applyBorder="1" applyAlignment="1">
      <alignment horizontal="center" vertical="center"/>
    </xf>
    <xf numFmtId="167" fontId="7" fillId="0" borderId="0" xfId="3" applyNumberFormat="1" applyFont="1" applyFill="1" applyBorder="1" applyAlignment="1">
      <alignment horizontal="center" vertical="center"/>
    </xf>
    <xf numFmtId="166" fontId="0" fillId="0" borderId="0" xfId="3" applyFont="1" applyFill="1"/>
    <xf numFmtId="166" fontId="2" fillId="0" borderId="0" xfId="3" applyFont="1" applyFill="1"/>
    <xf numFmtId="2" fontId="4" fillId="0" borderId="1" xfId="0" applyNumberFormat="1" applyFont="1" applyBorder="1" applyAlignment="1">
      <alignment horizontal="center" vertical="center"/>
    </xf>
    <xf numFmtId="166" fontId="0" fillId="0" borderId="0" xfId="3" applyFont="1" applyFill="1" applyBorder="1" applyAlignment="1">
      <alignment horizontal="center"/>
    </xf>
    <xf numFmtId="167" fontId="7" fillId="0" borderId="4" xfId="3" applyNumberFormat="1" applyFont="1" applyFill="1" applyBorder="1" applyAlignment="1">
      <alignment horizontal="center" vertical="center"/>
    </xf>
    <xf numFmtId="166" fontId="0" fillId="0" borderId="1" xfId="3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7" fontId="7" fillId="0" borderId="10" xfId="3" applyNumberFormat="1" applyFont="1" applyFill="1" applyBorder="1" applyAlignment="1">
      <alignment horizontal="center" vertical="center"/>
    </xf>
    <xf numFmtId="166" fontId="0" fillId="0" borderId="6" xfId="3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9" fillId="2" borderId="1" xfId="5" applyNumberFormat="1" applyFont="1" applyFill="1" applyBorder="1" applyAlignment="1">
      <alignment horizontal="center"/>
    </xf>
    <xf numFmtId="0" fontId="4" fillId="2" borderId="21" xfId="5" applyFont="1" applyFill="1" applyBorder="1" applyAlignment="1">
      <alignment horizontal="center" vertical="center"/>
    </xf>
    <xf numFmtId="0" fontId="9" fillId="2" borderId="22" xfId="5" applyFont="1" applyFill="1" applyBorder="1" applyAlignment="1">
      <alignment horizontal="center"/>
    </xf>
    <xf numFmtId="2" fontId="9" fillId="2" borderId="1" xfId="17" applyNumberFormat="1" applyFont="1" applyFill="1" applyBorder="1" applyAlignment="1">
      <alignment horizontal="center" vertical="center"/>
    </xf>
    <xf numFmtId="0" fontId="4" fillId="2" borderId="0" xfId="5" applyFont="1" applyFill="1" applyAlignment="1">
      <alignment horizontal="center" vertical="center"/>
    </xf>
    <xf numFmtId="4" fontId="4" fillId="2" borderId="0" xfId="5" applyNumberFormat="1" applyFont="1" applyFill="1" applyAlignment="1">
      <alignment horizontal="center" vertical="center" wrapText="1"/>
    </xf>
    <xf numFmtId="4" fontId="9" fillId="2" borderId="0" xfId="5" applyNumberFormat="1" applyFont="1" applyFill="1" applyAlignment="1">
      <alignment horizontal="center" vertical="center" wrapText="1"/>
    </xf>
    <xf numFmtId="14" fontId="3" fillId="0" borderId="23" xfId="0" applyNumberFormat="1" applyFont="1" applyBorder="1" applyAlignment="1">
      <alignment horizontal="center" vertical="center"/>
    </xf>
    <xf numFmtId="0" fontId="9" fillId="2" borderId="0" xfId="5" applyFont="1" applyFill="1" applyAlignment="1">
      <alignment horizontal="center"/>
    </xf>
    <xf numFmtId="44" fontId="9" fillId="2" borderId="1" xfId="3" applyNumberFormat="1" applyFont="1" applyFill="1" applyBorder="1"/>
    <xf numFmtId="177" fontId="8" fillId="0" borderId="1" xfId="0" applyNumberFormat="1" applyFont="1" applyBorder="1" applyAlignment="1">
      <alignment horizontal="center" vertical="center"/>
    </xf>
    <xf numFmtId="3" fontId="9" fillId="2" borderId="0" xfId="5" applyNumberFormat="1" applyFont="1" applyFill="1" applyAlignment="1">
      <alignment horizontal="left"/>
    </xf>
    <xf numFmtId="3" fontId="4" fillId="2" borderId="21" xfId="5" applyNumberFormat="1" applyFont="1" applyFill="1" applyBorder="1" applyAlignment="1">
      <alignment horizontal="left"/>
    </xf>
    <xf numFmtId="0" fontId="5" fillId="0" borderId="21" xfId="0" applyFont="1" applyBorder="1" applyAlignment="1">
      <alignment horizontal="center" vertical="center"/>
    </xf>
    <xf numFmtId="166" fontId="5" fillId="3" borderId="1" xfId="3" applyFont="1" applyFill="1" applyBorder="1" applyAlignment="1">
      <alignment vertical="center"/>
    </xf>
    <xf numFmtId="166" fontId="7" fillId="0" borderId="35" xfId="0" applyNumberFormat="1" applyFont="1" applyBorder="1" applyAlignment="1">
      <alignment horizontal="center"/>
    </xf>
    <xf numFmtId="10" fontId="7" fillId="0" borderId="35" xfId="10" applyNumberFormat="1" applyFont="1" applyFill="1" applyBorder="1"/>
    <xf numFmtId="176" fontId="7" fillId="0" borderId="35" xfId="10" applyNumberFormat="1" applyFont="1" applyFill="1" applyBorder="1" applyAlignment="1">
      <alignment horizontal="center"/>
    </xf>
    <xf numFmtId="176" fontId="7" fillId="0" borderId="40" xfId="10" applyNumberFormat="1" applyFont="1" applyFill="1" applyBorder="1" applyAlignment="1">
      <alignment horizontal="center"/>
    </xf>
    <xf numFmtId="176" fontId="12" fillId="0" borderId="41" xfId="10" applyNumberFormat="1" applyFont="1" applyFill="1" applyBorder="1" applyAlignment="1">
      <alignment horizontal="center"/>
    </xf>
    <xf numFmtId="176" fontId="7" fillId="0" borderId="41" xfId="10" applyNumberFormat="1" applyFont="1" applyFill="1" applyBorder="1" applyAlignment="1">
      <alignment horizontal="center"/>
    </xf>
    <xf numFmtId="44" fontId="7" fillId="0" borderId="45" xfId="0" applyNumberFormat="1" applyFont="1" applyBorder="1"/>
    <xf numFmtId="0" fontId="7" fillId="0" borderId="46" xfId="0" applyFont="1" applyBorder="1" applyAlignment="1">
      <alignment horizontal="center"/>
    </xf>
    <xf numFmtId="0" fontId="2" fillId="0" borderId="41" xfId="0" applyFont="1" applyBorder="1"/>
    <xf numFmtId="175" fontId="2" fillId="0" borderId="41" xfId="0" applyNumberFormat="1" applyFont="1" applyBorder="1"/>
    <xf numFmtId="175" fontId="2" fillId="3" borderId="41" xfId="0" applyNumberFormat="1" applyFont="1" applyFill="1" applyBorder="1"/>
    <xf numFmtId="176" fontId="3" fillId="0" borderId="41" xfId="0" applyNumberFormat="1" applyFont="1" applyBorder="1"/>
    <xf numFmtId="166" fontId="5" fillId="3" borderId="41" xfId="3" applyFont="1" applyFill="1" applyBorder="1" applyAlignment="1">
      <alignment vertical="center"/>
    </xf>
    <xf numFmtId="2" fontId="4" fillId="2" borderId="43" xfId="0" applyNumberFormat="1" applyFont="1" applyFill="1" applyBorder="1" applyAlignment="1">
      <alignment horizontal="center" vertical="center"/>
    </xf>
    <xf numFmtId="0" fontId="2" fillId="0" borderId="45" xfId="0" applyFont="1" applyBorder="1"/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right" vertical="center"/>
    </xf>
    <xf numFmtId="4" fontId="4" fillId="3" borderId="2" xfId="0" applyNumberFormat="1" applyFont="1" applyFill="1" applyBorder="1" applyAlignment="1">
      <alignment horizontal="left" vertical="center"/>
    </xf>
    <xf numFmtId="4" fontId="4" fillId="3" borderId="3" xfId="0" applyNumberFormat="1" applyFont="1" applyFill="1" applyBorder="1" applyAlignment="1">
      <alignment horizontal="left" vertical="center"/>
    </xf>
    <xf numFmtId="4" fontId="4" fillId="3" borderId="4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1" fillId="2" borderId="4" xfId="0" applyFont="1" applyFill="1" applyBorder="1" applyAlignment="1">
      <alignment horizontal="right" vertical="center"/>
    </xf>
    <xf numFmtId="172" fontId="5" fillId="0" borderId="2" xfId="6" applyFont="1" applyBorder="1" applyAlignment="1">
      <alignment horizontal="right"/>
    </xf>
    <xf numFmtId="172" fontId="5" fillId="0" borderId="3" xfId="6" applyFont="1" applyBorder="1" applyAlignment="1">
      <alignment horizontal="right"/>
    </xf>
    <xf numFmtId="172" fontId="5" fillId="0" borderId="4" xfId="6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9" fillId="2" borderId="2" xfId="5" applyFont="1" applyFill="1" applyBorder="1" applyAlignment="1">
      <alignment horizontal="right"/>
    </xf>
    <xf numFmtId="0" fontId="9" fillId="2" borderId="3" xfId="5" applyFont="1" applyFill="1" applyBorder="1" applyAlignment="1">
      <alignment horizontal="right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" fontId="5" fillId="6" borderId="17" xfId="0" applyNumberFormat="1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24" xfId="9" applyFont="1" applyBorder="1" applyAlignment="1">
      <alignment horizontal="center"/>
    </xf>
    <xf numFmtId="0" fontId="5" fillId="0" borderId="27" xfId="9" applyFont="1" applyBorder="1" applyAlignment="1">
      <alignment horizontal="center"/>
    </xf>
    <xf numFmtId="0" fontId="5" fillId="0" borderId="28" xfId="9" applyFont="1" applyBorder="1" applyAlignment="1">
      <alignment horizontal="center"/>
    </xf>
    <xf numFmtId="4" fontId="9" fillId="0" borderId="11" xfId="0" applyNumberFormat="1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6" xfId="0" applyBorder="1" applyAlignment="1">
      <alignment horizontal="center"/>
    </xf>
    <xf numFmtId="4" fontId="3" fillId="0" borderId="23" xfId="0" applyNumberFormat="1" applyFont="1" applyBorder="1" applyAlignment="1">
      <alignment horizontal="center" vertical="center" wrapText="1"/>
    </xf>
    <xf numFmtId="4" fontId="3" fillId="0" borderId="20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31" xfId="0" applyNumberFormat="1" applyFont="1" applyBorder="1" applyAlignment="1">
      <alignment horizontal="center" vertical="center" wrapText="1"/>
    </xf>
    <xf numFmtId="4" fontId="3" fillId="0" borderId="32" xfId="0" applyNumberFormat="1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38" xfId="0" applyNumberFormat="1" applyFont="1" applyBorder="1" applyAlignment="1">
      <alignment horizontal="center" vertical="center"/>
    </xf>
    <xf numFmtId="0" fontId="5" fillId="0" borderId="17" xfId="9" applyFont="1" applyBorder="1" applyAlignment="1">
      <alignment horizontal="center"/>
    </xf>
    <xf numFmtId="0" fontId="5" fillId="0" borderId="18" xfId="9" applyFont="1" applyBorder="1" applyAlignment="1">
      <alignment horizontal="center"/>
    </xf>
    <xf numFmtId="0" fontId="5" fillId="0" borderId="19" xfId="9" applyFont="1" applyBorder="1" applyAlignment="1">
      <alignment horizontal="center"/>
    </xf>
    <xf numFmtId="167" fontId="9" fillId="2" borderId="0" xfId="3" applyNumberFormat="1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/>
    </xf>
    <xf numFmtId="2" fontId="8" fillId="0" borderId="4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2" borderId="2" xfId="5" applyFont="1" applyFill="1" applyBorder="1" applyAlignment="1">
      <alignment horizontal="center"/>
    </xf>
    <xf numFmtId="0" fontId="9" fillId="2" borderId="4" xfId="5" applyFont="1" applyFill="1" applyBorder="1" applyAlignment="1">
      <alignment horizontal="center"/>
    </xf>
    <xf numFmtId="9" fontId="9" fillId="2" borderId="2" xfId="5" applyNumberFormat="1" applyFont="1" applyFill="1" applyBorder="1" applyAlignment="1">
      <alignment horizontal="center"/>
    </xf>
    <xf numFmtId="173" fontId="9" fillId="2" borderId="2" xfId="6" applyNumberFormat="1" applyFont="1" applyFill="1" applyBorder="1" applyAlignment="1">
      <alignment horizontal="center"/>
    </xf>
    <xf numFmtId="173" fontId="9" fillId="2" borderId="4" xfId="6" applyNumberFormat="1" applyFont="1" applyFill="1" applyBorder="1" applyAlignment="1">
      <alignment horizontal="center"/>
    </xf>
    <xf numFmtId="0" fontId="16" fillId="0" borderId="2" xfId="5" applyFont="1" applyBorder="1" applyAlignment="1">
      <alignment horizontal="left"/>
    </xf>
    <xf numFmtId="0" fontId="16" fillId="0" borderId="4" xfId="5" applyFont="1" applyBorder="1" applyAlignment="1">
      <alignment horizontal="left"/>
    </xf>
    <xf numFmtId="0" fontId="4" fillId="2" borderId="2" xfId="5" applyFont="1" applyFill="1" applyBorder="1" applyAlignment="1">
      <alignment horizontal="left"/>
    </xf>
    <xf numFmtId="0" fontId="4" fillId="2" borderId="3" xfId="5" applyFont="1" applyFill="1" applyBorder="1" applyAlignment="1">
      <alignment horizontal="left"/>
    </xf>
    <xf numFmtId="0" fontId="4" fillId="2" borderId="4" xfId="5" applyFont="1" applyFill="1" applyBorder="1" applyAlignment="1">
      <alignment horizontal="left"/>
    </xf>
    <xf numFmtId="4" fontId="9" fillId="2" borderId="2" xfId="5" applyNumberFormat="1" applyFont="1" applyFill="1" applyBorder="1" applyAlignment="1">
      <alignment horizontal="center"/>
    </xf>
    <xf numFmtId="4" fontId="9" fillId="2" borderId="4" xfId="5" applyNumberFormat="1" applyFont="1" applyFill="1" applyBorder="1" applyAlignment="1">
      <alignment horizontal="center"/>
    </xf>
    <xf numFmtId="4" fontId="4" fillId="2" borderId="5" xfId="5" applyNumberFormat="1" applyFont="1" applyFill="1" applyBorder="1" applyAlignment="1">
      <alignment horizontal="center" vertical="center" wrapText="1"/>
    </xf>
    <xf numFmtId="4" fontId="4" fillId="2" borderId="6" xfId="5" applyNumberFormat="1" applyFont="1" applyFill="1" applyBorder="1" applyAlignment="1">
      <alignment horizontal="center" vertical="center" wrapText="1"/>
    </xf>
    <xf numFmtId="4" fontId="9" fillId="2" borderId="7" xfId="5" applyNumberFormat="1" applyFont="1" applyFill="1" applyBorder="1" applyAlignment="1">
      <alignment horizontal="center" vertical="center" wrapText="1"/>
    </xf>
    <xf numFmtId="4" fontId="9" fillId="2" borderId="8" xfId="5" applyNumberFormat="1" applyFont="1" applyFill="1" applyBorder="1" applyAlignment="1">
      <alignment horizontal="center" vertical="center" wrapText="1"/>
    </xf>
    <xf numFmtId="4" fontId="9" fillId="2" borderId="9" xfId="5" applyNumberFormat="1" applyFont="1" applyFill="1" applyBorder="1" applyAlignment="1">
      <alignment horizontal="center" vertical="center" wrapText="1"/>
    </xf>
    <xf numFmtId="4" fontId="9" fillId="2" borderId="10" xfId="5" applyNumberFormat="1" applyFont="1" applyFill="1" applyBorder="1" applyAlignment="1">
      <alignment horizontal="center" vertical="center" wrapText="1"/>
    </xf>
    <xf numFmtId="4" fontId="4" fillId="2" borderId="7" xfId="5" applyNumberFormat="1" applyFont="1" applyFill="1" applyBorder="1" applyAlignment="1">
      <alignment horizontal="center" vertical="center" wrapText="1"/>
    </xf>
    <xf numFmtId="4" fontId="4" fillId="2" borderId="23" xfId="5" applyNumberFormat="1" applyFont="1" applyFill="1" applyBorder="1" applyAlignment="1">
      <alignment horizontal="center" vertical="center" wrapText="1"/>
    </xf>
    <xf numFmtId="4" fontId="4" fillId="2" borderId="8" xfId="5" applyNumberFormat="1" applyFont="1" applyFill="1" applyBorder="1" applyAlignment="1">
      <alignment horizontal="center" vertical="center" wrapText="1"/>
    </xf>
    <xf numFmtId="0" fontId="4" fillId="3" borderId="25" xfId="5" applyFont="1" applyFill="1" applyBorder="1" applyAlignment="1">
      <alignment horizontal="center" vertical="center" wrapText="1"/>
    </xf>
    <xf numFmtId="0" fontId="4" fillId="3" borderId="18" xfId="5" applyFont="1" applyFill="1" applyBorder="1" applyAlignment="1">
      <alignment horizontal="center" vertical="center" wrapText="1"/>
    </xf>
    <xf numFmtId="0" fontId="4" fillId="3" borderId="26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left"/>
    </xf>
    <xf numFmtId="0" fontId="9" fillId="2" borderId="4" xfId="5" applyFont="1" applyFill="1" applyBorder="1" applyAlignment="1">
      <alignment horizontal="left"/>
    </xf>
    <xf numFmtId="4" fontId="9" fillId="0" borderId="2" xfId="5" applyNumberFormat="1" applyFont="1" applyBorder="1" applyAlignment="1">
      <alignment horizontal="left"/>
    </xf>
    <xf numFmtId="4" fontId="9" fillId="0" borderId="4" xfId="5" applyNumberFormat="1" applyFont="1" applyBorder="1" applyAlignment="1">
      <alignment horizontal="left"/>
    </xf>
    <xf numFmtId="4" fontId="9" fillId="2" borderId="2" xfId="5" applyNumberFormat="1" applyFont="1" applyFill="1" applyBorder="1" applyAlignment="1">
      <alignment horizontal="left"/>
    </xf>
    <xf numFmtId="4" fontId="9" fillId="2" borderId="4" xfId="5" applyNumberFormat="1" applyFont="1" applyFill="1" applyBorder="1" applyAlignment="1">
      <alignment horizontal="left"/>
    </xf>
    <xf numFmtId="0" fontId="9" fillId="2" borderId="7" xfId="5" applyFont="1" applyFill="1" applyBorder="1" applyAlignment="1">
      <alignment horizontal="center"/>
    </xf>
    <xf numFmtId="0" fontId="9" fillId="2" borderId="8" xfId="5" applyFont="1" applyFill="1" applyBorder="1" applyAlignment="1">
      <alignment horizontal="center"/>
    </xf>
    <xf numFmtId="0" fontId="9" fillId="2" borderId="21" xfId="5" applyFont="1" applyFill="1" applyBorder="1" applyAlignment="1">
      <alignment horizontal="center"/>
    </xf>
    <xf numFmtId="0" fontId="9" fillId="2" borderId="22" xfId="5" applyFont="1" applyFill="1" applyBorder="1" applyAlignment="1">
      <alignment horizontal="center"/>
    </xf>
    <xf numFmtId="0" fontId="9" fillId="2" borderId="9" xfId="5" applyFont="1" applyFill="1" applyBorder="1" applyAlignment="1">
      <alignment horizontal="center"/>
    </xf>
    <xf numFmtId="0" fontId="9" fillId="2" borderId="10" xfId="5" applyFont="1" applyFill="1" applyBorder="1" applyAlignment="1">
      <alignment horizontal="center"/>
    </xf>
    <xf numFmtId="0" fontId="16" fillId="0" borderId="2" xfId="5" applyFont="1" applyBorder="1" applyAlignment="1">
      <alignment horizontal="left" wrapText="1"/>
    </xf>
    <xf numFmtId="0" fontId="16" fillId="0" borderId="4" xfId="5" applyFont="1" applyBorder="1" applyAlignment="1">
      <alignment horizontal="left" wrapText="1"/>
    </xf>
    <xf numFmtId="0" fontId="4" fillId="2" borderId="7" xfId="5" applyFont="1" applyFill="1" applyBorder="1" applyAlignment="1">
      <alignment horizontal="center" vertical="center"/>
    </xf>
    <xf numFmtId="0" fontId="4" fillId="2" borderId="8" xfId="5" applyFont="1" applyFill="1" applyBorder="1" applyAlignment="1">
      <alignment horizontal="center" vertical="center"/>
    </xf>
    <xf numFmtId="0" fontId="4" fillId="2" borderId="21" xfId="5" applyFont="1" applyFill="1" applyBorder="1" applyAlignment="1">
      <alignment horizontal="center" vertical="center"/>
    </xf>
    <xf numFmtId="0" fontId="4" fillId="2" borderId="22" xfId="5" applyFont="1" applyFill="1" applyBorder="1" applyAlignment="1">
      <alignment horizontal="center" vertical="center"/>
    </xf>
    <xf numFmtId="0" fontId="4" fillId="2" borderId="9" xfId="5" applyFont="1" applyFill="1" applyBorder="1" applyAlignment="1">
      <alignment horizontal="center" vertical="center"/>
    </xf>
    <xf numFmtId="0" fontId="4" fillId="2" borderId="10" xfId="5" applyFont="1" applyFill="1" applyBorder="1" applyAlignment="1">
      <alignment horizontal="center" vertical="center"/>
    </xf>
    <xf numFmtId="49" fontId="9" fillId="2" borderId="2" xfId="5" applyNumberFormat="1" applyFont="1" applyFill="1" applyBorder="1" applyAlignment="1">
      <alignment horizontal="left"/>
    </xf>
    <xf numFmtId="49" fontId="9" fillId="2" borderId="4" xfId="5" applyNumberFormat="1" applyFont="1" applyFill="1" applyBorder="1" applyAlignment="1">
      <alignment horizontal="left"/>
    </xf>
    <xf numFmtId="0" fontId="9" fillId="2" borderId="2" xfId="5" applyFont="1" applyFill="1" applyBorder="1" applyAlignment="1">
      <alignment horizontal="left" wrapText="1"/>
    </xf>
    <xf numFmtId="0" fontId="9" fillId="2" borderId="4" xfId="5" applyFont="1" applyFill="1" applyBorder="1" applyAlignment="1">
      <alignment horizontal="left" wrapText="1"/>
    </xf>
    <xf numFmtId="0" fontId="9" fillId="2" borderId="2" xfId="5" applyFont="1" applyFill="1" applyBorder="1" applyAlignment="1">
      <alignment horizontal="left" vertical="top" wrapText="1"/>
    </xf>
    <xf numFmtId="0" fontId="9" fillId="2" borderId="4" xfId="5" applyFont="1" applyFill="1" applyBorder="1" applyAlignment="1">
      <alignment horizontal="left" vertical="top" wrapText="1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4" fontId="4" fillId="2" borderId="11" xfId="5" applyNumberFormat="1" applyFont="1" applyFill="1" applyBorder="1" applyAlignment="1">
      <alignment horizontal="center" vertical="center" wrapText="1"/>
    </xf>
    <xf numFmtId="4" fontId="4" fillId="2" borderId="12" xfId="5" applyNumberFormat="1" applyFont="1" applyFill="1" applyBorder="1" applyAlignment="1">
      <alignment horizontal="center" vertical="center" wrapText="1"/>
    </xf>
    <xf numFmtId="4" fontId="4" fillId="2" borderId="13" xfId="5" applyNumberFormat="1" applyFont="1" applyFill="1" applyBorder="1" applyAlignment="1">
      <alignment horizontal="center" vertical="center" wrapText="1"/>
    </xf>
    <xf numFmtId="4" fontId="4" fillId="2" borderId="14" xfId="5" applyNumberFormat="1" applyFont="1" applyFill="1" applyBorder="1" applyAlignment="1">
      <alignment horizontal="center" vertical="center" wrapText="1"/>
    </xf>
    <xf numFmtId="4" fontId="4" fillId="2" borderId="15" xfId="5" applyNumberFormat="1" applyFont="1" applyFill="1" applyBorder="1" applyAlignment="1">
      <alignment horizontal="center" vertical="center" wrapText="1"/>
    </xf>
    <xf numFmtId="4" fontId="4" fillId="2" borderId="16" xfId="5" applyNumberFormat="1" applyFont="1" applyFill="1" applyBorder="1" applyAlignment="1">
      <alignment horizontal="center" vertical="center" wrapText="1"/>
    </xf>
    <xf numFmtId="4" fontId="9" fillId="2" borderId="2" xfId="5" applyNumberFormat="1" applyFont="1" applyFill="1" applyBorder="1" applyAlignment="1">
      <alignment horizontal="left" vertical="center"/>
    </xf>
    <xf numFmtId="4" fontId="9" fillId="2" borderId="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4" fontId="7" fillId="3" borderId="11" xfId="0" applyNumberFormat="1" applyFont="1" applyFill="1" applyBorder="1" applyAlignment="1">
      <alignment horizontal="center" vertical="center" wrapText="1"/>
    </xf>
    <xf numFmtId="4" fontId="7" fillId="3" borderId="12" xfId="0" applyNumberFormat="1" applyFont="1" applyFill="1" applyBorder="1" applyAlignment="1">
      <alignment horizontal="center" vertical="center" wrapText="1"/>
    </xf>
    <xf numFmtId="4" fontId="7" fillId="3" borderId="13" xfId="0" applyNumberFormat="1" applyFont="1" applyFill="1" applyBorder="1" applyAlignment="1">
      <alignment horizontal="center" vertical="center" wrapText="1"/>
    </xf>
    <xf numFmtId="4" fontId="7" fillId="3" borderId="14" xfId="0" applyNumberFormat="1" applyFont="1" applyFill="1" applyBorder="1" applyAlignment="1">
      <alignment horizontal="center" vertical="center" wrapText="1"/>
    </xf>
    <xf numFmtId="4" fontId="7" fillId="3" borderId="15" xfId="0" applyNumberFormat="1" applyFont="1" applyFill="1" applyBorder="1" applyAlignment="1">
      <alignment horizontal="center" vertical="center" wrapText="1"/>
    </xf>
    <xf numFmtId="4" fontId="7" fillId="3" borderId="16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0" borderId="50" xfId="0" applyFont="1" applyBorder="1" applyAlignment="1">
      <alignment horizontal="right"/>
    </xf>
    <xf numFmtId="0" fontId="7" fillId="0" borderId="49" xfId="0" applyFont="1" applyBorder="1" applyAlignment="1">
      <alignment horizontal="right"/>
    </xf>
    <xf numFmtId="0" fontId="7" fillId="0" borderId="47" xfId="0" applyFont="1" applyBorder="1" applyAlignment="1">
      <alignment horizontal="right"/>
    </xf>
    <xf numFmtId="0" fontId="4" fillId="2" borderId="4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right" vertical="center" wrapText="1"/>
    </xf>
    <xf numFmtId="0" fontId="7" fillId="2" borderId="35" xfId="0" applyFont="1" applyFill="1" applyBorder="1" applyAlignment="1">
      <alignment horizontal="right" vertical="center" wrapText="1"/>
    </xf>
    <xf numFmtId="0" fontId="12" fillId="2" borderId="43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2" borderId="44" xfId="0" applyFont="1" applyFill="1" applyBorder="1" applyAlignment="1">
      <alignment horizontal="right" vertical="center" wrapText="1"/>
    </xf>
    <xf numFmtId="0" fontId="7" fillId="2" borderId="38" xfId="0" applyFont="1" applyFill="1" applyBorder="1" applyAlignment="1">
      <alignment horizontal="right" vertical="center" wrapText="1"/>
    </xf>
    <xf numFmtId="0" fontId="4" fillId="2" borderId="50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3" fillId="0" borderId="52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2" borderId="53" xfId="5" applyFont="1" applyFill="1" applyBorder="1" applyAlignment="1">
      <alignment horizontal="center" vertical="top"/>
    </xf>
    <xf numFmtId="0" fontId="4" fillId="2" borderId="23" xfId="5" applyFont="1" applyFill="1" applyBorder="1" applyAlignment="1">
      <alignment horizontal="center" vertical="top"/>
    </xf>
    <xf numFmtId="0" fontId="4" fillId="2" borderId="8" xfId="5" applyFont="1" applyFill="1" applyBorder="1" applyAlignment="1">
      <alignment horizontal="center" vertical="top"/>
    </xf>
    <xf numFmtId="0" fontId="4" fillId="2" borderId="2" xfId="5" applyFont="1" applyFill="1" applyBorder="1" applyAlignment="1">
      <alignment horizontal="center"/>
    </xf>
    <xf numFmtId="0" fontId="4" fillId="2" borderId="4" xfId="5" applyFont="1" applyFill="1" applyBorder="1" applyAlignment="1">
      <alignment horizontal="center"/>
    </xf>
    <xf numFmtId="0" fontId="9" fillId="2" borderId="2" xfId="11" applyFont="1" applyFill="1" applyBorder="1" applyAlignment="1">
      <alignment horizontal="left"/>
    </xf>
    <xf numFmtId="0" fontId="9" fillId="2" borderId="4" xfId="11" applyFont="1" applyFill="1" applyBorder="1" applyAlignment="1">
      <alignment horizontal="left"/>
    </xf>
    <xf numFmtId="177" fontId="9" fillId="2" borderId="0" xfId="5" applyNumberFormat="1" applyFont="1" applyFill="1" applyAlignment="1">
      <alignment horizontal="left" wrapText="1"/>
    </xf>
    <xf numFmtId="0" fontId="4" fillId="2" borderId="48" xfId="5" applyFont="1" applyFill="1" applyBorder="1" applyAlignment="1">
      <alignment horizontal="center"/>
    </xf>
    <xf numFmtId="0" fontId="4" fillId="2" borderId="47" xfId="5" applyFont="1" applyFill="1" applyBorder="1" applyAlignment="1">
      <alignment horizontal="center"/>
    </xf>
    <xf numFmtId="177" fontId="4" fillId="2" borderId="0" xfId="5" applyNumberFormat="1" applyFont="1" applyFill="1" applyAlignment="1">
      <alignment horizontal="left" wrapText="1"/>
    </xf>
    <xf numFmtId="2" fontId="2" fillId="0" borderId="2" xfId="9" applyNumberFormat="1" applyFont="1" applyBorder="1" applyAlignment="1">
      <alignment horizontal="center" vertical="center"/>
    </xf>
    <xf numFmtId="2" fontId="2" fillId="0" borderId="4" xfId="9" applyNumberFormat="1" applyFont="1" applyBorder="1" applyAlignment="1">
      <alignment horizontal="center" vertical="center"/>
    </xf>
    <xf numFmtId="44" fontId="2" fillId="0" borderId="2" xfId="12" applyFont="1" applyBorder="1" applyAlignment="1">
      <alignment horizontal="center" vertical="center"/>
    </xf>
    <xf numFmtId="44" fontId="2" fillId="0" borderId="42" xfId="12" applyFont="1" applyBorder="1" applyAlignment="1">
      <alignment horizontal="center" vertical="center"/>
    </xf>
    <xf numFmtId="0" fontId="2" fillId="0" borderId="61" xfId="9" applyFont="1" applyBorder="1" applyAlignment="1">
      <alignment horizontal="left" vertical="center" wrapText="1"/>
    </xf>
    <xf numFmtId="0" fontId="2" fillId="0" borderId="4" xfId="9" applyFont="1" applyBorder="1" applyAlignment="1">
      <alignment horizontal="left" vertical="center" wrapText="1"/>
    </xf>
    <xf numFmtId="0" fontId="2" fillId="0" borderId="56" xfId="9" applyFont="1" applyBorder="1" applyAlignment="1">
      <alignment horizontal="center" vertical="center"/>
    </xf>
    <xf numFmtId="0" fontId="2" fillId="0" borderId="58" xfId="9" applyFont="1" applyBorder="1" applyAlignment="1">
      <alignment horizontal="center" vertical="center"/>
    </xf>
    <xf numFmtId="0" fontId="2" fillId="0" borderId="60" xfId="9" applyFont="1" applyBorder="1" applyAlignment="1">
      <alignment horizontal="center" vertical="center"/>
    </xf>
    <xf numFmtId="0" fontId="3" fillId="0" borderId="29" xfId="9" applyFont="1" applyBorder="1" applyAlignment="1">
      <alignment horizontal="center" vertical="center" wrapText="1"/>
    </xf>
    <xf numFmtId="0" fontId="3" fillId="0" borderId="30" xfId="9" applyFont="1" applyBorder="1" applyAlignment="1">
      <alignment horizontal="center" vertical="center" wrapText="1"/>
    </xf>
    <xf numFmtId="0" fontId="3" fillId="0" borderId="9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 wrapText="1"/>
    </xf>
    <xf numFmtId="0" fontId="2" fillId="0" borderId="57" xfId="9" applyFont="1" applyBorder="1" applyAlignment="1">
      <alignment horizontal="center"/>
    </xf>
    <xf numFmtId="0" fontId="2" fillId="0" borderId="59" xfId="9" applyFont="1" applyBorder="1" applyAlignment="1">
      <alignment horizontal="center"/>
    </xf>
    <xf numFmtId="0" fontId="2" fillId="0" borderId="46" xfId="9" applyFont="1" applyBorder="1" applyAlignment="1">
      <alignment horizontal="center"/>
    </xf>
    <xf numFmtId="0" fontId="3" fillId="0" borderId="5" xfId="9" applyFont="1" applyBorder="1" applyAlignment="1">
      <alignment horizontal="center" vertical="center" wrapText="1"/>
    </xf>
    <xf numFmtId="0" fontId="3" fillId="0" borderId="6" xfId="9" applyFont="1" applyBorder="1" applyAlignment="1">
      <alignment horizontal="center" vertical="center" wrapText="1"/>
    </xf>
    <xf numFmtId="173" fontId="3" fillId="0" borderId="5" xfId="9" applyNumberFormat="1" applyFont="1" applyBorder="1" applyAlignment="1">
      <alignment horizontal="center" vertical="center"/>
    </xf>
    <xf numFmtId="173" fontId="3" fillId="0" borderId="6" xfId="9" applyNumberFormat="1" applyFont="1" applyBorder="1" applyAlignment="1">
      <alignment horizontal="center" vertical="center"/>
    </xf>
    <xf numFmtId="0" fontId="3" fillId="0" borderId="2" xfId="9" applyFont="1" applyBorder="1" applyAlignment="1">
      <alignment horizontal="center" vertical="center"/>
    </xf>
    <xf numFmtId="0" fontId="3" fillId="0" borderId="4" xfId="9" applyFont="1" applyBorder="1" applyAlignment="1">
      <alignment horizontal="center" vertical="center"/>
    </xf>
    <xf numFmtId="0" fontId="2" fillId="0" borderId="2" xfId="9" applyFont="1" applyBorder="1" applyAlignment="1">
      <alignment horizontal="center" vertical="center"/>
    </xf>
    <xf numFmtId="0" fontId="2" fillId="0" borderId="4" xfId="9" applyFont="1" applyBorder="1" applyAlignment="1">
      <alignment horizontal="center" vertical="center"/>
    </xf>
    <xf numFmtId="0" fontId="3" fillId="0" borderId="7" xfId="9" applyFont="1" applyBorder="1" applyAlignment="1">
      <alignment horizontal="center" vertical="center"/>
    </xf>
    <xf numFmtId="0" fontId="3" fillId="0" borderId="8" xfId="9" applyFont="1" applyBorder="1" applyAlignment="1">
      <alignment horizontal="center" vertical="center"/>
    </xf>
    <xf numFmtId="0" fontId="3" fillId="0" borderId="9" xfId="9" applyFont="1" applyBorder="1" applyAlignment="1">
      <alignment horizontal="center" vertical="center"/>
    </xf>
    <xf numFmtId="0" fontId="3" fillId="0" borderId="10" xfId="9" applyFont="1" applyBorder="1" applyAlignment="1">
      <alignment horizontal="center" vertical="center"/>
    </xf>
    <xf numFmtId="0" fontId="3" fillId="0" borderId="17" xfId="9" applyFont="1" applyBorder="1" applyAlignment="1">
      <alignment horizontal="center" wrapText="1"/>
    </xf>
    <xf numFmtId="0" fontId="3" fillId="0" borderId="18" xfId="9" applyFont="1" applyBorder="1" applyAlignment="1">
      <alignment horizontal="center" wrapText="1"/>
    </xf>
    <xf numFmtId="0" fontId="3" fillId="0" borderId="19" xfId="9" applyFont="1" applyBorder="1" applyAlignment="1">
      <alignment horizontal="center" wrapText="1"/>
    </xf>
    <xf numFmtId="0" fontId="3" fillId="4" borderId="61" xfId="9" applyFont="1" applyFill="1" applyBorder="1" applyAlignment="1">
      <alignment horizontal="center" vertical="center"/>
    </xf>
    <xf numFmtId="0" fontId="3" fillId="4" borderId="3" xfId="9" applyFont="1" applyFill="1" applyBorder="1" applyAlignment="1">
      <alignment horizontal="center" vertical="center"/>
    </xf>
    <xf numFmtId="0" fontId="3" fillId="4" borderId="42" xfId="9" applyFont="1" applyFill="1" applyBorder="1" applyAlignment="1">
      <alignment horizontal="center" vertical="center"/>
    </xf>
    <xf numFmtId="0" fontId="3" fillId="0" borderId="42" xfId="9" applyFont="1" applyBorder="1" applyAlignment="1">
      <alignment horizontal="center" vertical="center"/>
    </xf>
    <xf numFmtId="0" fontId="3" fillId="4" borderId="61" xfId="9" applyFont="1" applyFill="1" applyBorder="1" applyAlignment="1">
      <alignment horizontal="center"/>
    </xf>
    <xf numFmtId="0" fontId="3" fillId="4" borderId="3" xfId="9" applyFont="1" applyFill="1" applyBorder="1" applyAlignment="1">
      <alignment horizontal="center"/>
    </xf>
    <xf numFmtId="0" fontId="3" fillId="4" borderId="42" xfId="9" applyFont="1" applyFill="1" applyBorder="1" applyAlignment="1">
      <alignment horizontal="center"/>
    </xf>
    <xf numFmtId="0" fontId="3" fillId="0" borderId="61" xfId="9" applyFont="1" applyBorder="1" applyAlignment="1">
      <alignment horizontal="left" vertical="center" wrapText="1"/>
    </xf>
    <xf numFmtId="0" fontId="3" fillId="0" borderId="4" xfId="9" applyFont="1" applyBorder="1" applyAlignment="1">
      <alignment horizontal="left" vertical="center" wrapText="1"/>
    </xf>
    <xf numFmtId="0" fontId="3" fillId="0" borderId="2" xfId="9" applyFont="1" applyBorder="1" applyAlignment="1">
      <alignment horizontal="center" vertical="center" wrapText="1"/>
    </xf>
    <xf numFmtId="0" fontId="3" fillId="0" borderId="4" xfId="9" applyFont="1" applyBorder="1" applyAlignment="1">
      <alignment horizontal="center" vertical="center" wrapText="1"/>
    </xf>
    <xf numFmtId="0" fontId="3" fillId="0" borderId="61" xfId="9" applyFont="1" applyBorder="1" applyAlignment="1">
      <alignment horizontal="left" wrapText="1"/>
    </xf>
    <xf numFmtId="0" fontId="3" fillId="0" borderId="4" xfId="9" applyFont="1" applyBorder="1" applyAlignment="1">
      <alignment horizontal="left" wrapText="1"/>
    </xf>
    <xf numFmtId="0" fontId="2" fillId="0" borderId="61" xfId="9" applyFont="1" applyBorder="1" applyAlignment="1">
      <alignment horizontal="left" wrapText="1"/>
    </xf>
    <xf numFmtId="0" fontId="2" fillId="0" borderId="4" xfId="9" applyFont="1" applyBorder="1" applyAlignment="1">
      <alignment horizontal="left" wrapText="1"/>
    </xf>
    <xf numFmtId="0" fontId="3" fillId="0" borderId="61" xfId="9" applyFont="1" applyBorder="1" applyAlignment="1">
      <alignment horizontal="left"/>
    </xf>
    <xf numFmtId="0" fontId="3" fillId="0" borderId="4" xfId="9" applyFont="1" applyBorder="1" applyAlignment="1">
      <alignment horizontal="left"/>
    </xf>
    <xf numFmtId="0" fontId="3" fillId="5" borderId="61" xfId="9" applyFont="1" applyFill="1" applyBorder="1" applyAlignment="1">
      <alignment horizontal="right"/>
    </xf>
    <xf numFmtId="0" fontId="3" fillId="5" borderId="3" xfId="9" applyFont="1" applyFill="1" applyBorder="1" applyAlignment="1">
      <alignment horizontal="right"/>
    </xf>
    <xf numFmtId="0" fontId="3" fillId="5" borderId="4" xfId="9" applyFont="1" applyFill="1" applyBorder="1" applyAlignment="1">
      <alignment horizontal="right"/>
    </xf>
    <xf numFmtId="173" fontId="3" fillId="5" borderId="2" xfId="9" applyNumberFormat="1" applyFont="1" applyFill="1" applyBorder="1" applyAlignment="1">
      <alignment horizontal="center"/>
    </xf>
    <xf numFmtId="173" fontId="3" fillId="5" borderId="4" xfId="9" applyNumberFormat="1" applyFont="1" applyFill="1" applyBorder="1" applyAlignment="1">
      <alignment horizontal="center"/>
    </xf>
    <xf numFmtId="0" fontId="3" fillId="0" borderId="61" xfId="9" applyFont="1" applyBorder="1" applyAlignment="1">
      <alignment horizontal="center" vertical="center"/>
    </xf>
    <xf numFmtId="0" fontId="2" fillId="0" borderId="61" xfId="9" applyFont="1" applyBorder="1" applyAlignment="1">
      <alignment horizontal="left"/>
    </xf>
    <xf numFmtId="0" fontId="2" fillId="0" borderId="4" xfId="9" applyFont="1" applyBorder="1" applyAlignment="1">
      <alignment horizontal="left"/>
    </xf>
    <xf numFmtId="173" fontId="2" fillId="0" borderId="2" xfId="9" applyNumberFormat="1" applyFont="1" applyBorder="1" applyAlignment="1">
      <alignment horizontal="center" vertical="center" wrapText="1"/>
    </xf>
    <xf numFmtId="173" fontId="2" fillId="0" borderId="4" xfId="9" applyNumberFormat="1" applyFont="1" applyBorder="1" applyAlignment="1">
      <alignment horizontal="center" vertical="center" wrapText="1"/>
    </xf>
    <xf numFmtId="0" fontId="3" fillId="0" borderId="3" xfId="9" applyFont="1" applyBorder="1" applyAlignment="1">
      <alignment horizontal="left"/>
    </xf>
    <xf numFmtId="0" fontId="3" fillId="0" borderId="42" xfId="9" applyFont="1" applyBorder="1" applyAlignment="1">
      <alignment horizontal="left"/>
    </xf>
    <xf numFmtId="0" fontId="3" fillId="5" borderId="61" xfId="9" applyFont="1" applyFill="1" applyBorder="1" applyAlignment="1">
      <alignment horizontal="center"/>
    </xf>
    <xf numFmtId="0" fontId="3" fillId="5" borderId="3" xfId="9" applyFont="1" applyFill="1" applyBorder="1" applyAlignment="1">
      <alignment horizontal="center"/>
    </xf>
    <xf numFmtId="0" fontId="3" fillId="5" borderId="4" xfId="9" applyFont="1" applyFill="1" applyBorder="1" applyAlignment="1">
      <alignment horizontal="center"/>
    </xf>
    <xf numFmtId="0" fontId="2" fillId="0" borderId="0" xfId="9" applyFont="1" applyAlignment="1">
      <alignment horizontal="center"/>
    </xf>
    <xf numFmtId="0" fontId="3" fillId="0" borderId="61" xfId="9" applyFont="1" applyBorder="1" applyAlignment="1">
      <alignment horizontal="right"/>
    </xf>
    <xf numFmtId="0" fontId="3" fillId="0" borderId="3" xfId="9" applyFont="1" applyBorder="1" applyAlignment="1">
      <alignment horizontal="right"/>
    </xf>
    <xf numFmtId="0" fontId="3" fillId="0" borderId="4" xfId="9" applyFont="1" applyBorder="1" applyAlignment="1">
      <alignment horizontal="right"/>
    </xf>
    <xf numFmtId="173" fontId="3" fillId="0" borderId="2" xfId="14" applyNumberFormat="1" applyFont="1" applyBorder="1" applyAlignment="1">
      <alignment horizontal="center"/>
    </xf>
    <xf numFmtId="173" fontId="3" fillId="0" borderId="42" xfId="14" applyNumberFormat="1" applyFont="1" applyBorder="1" applyAlignment="1">
      <alignment horizontal="center"/>
    </xf>
    <xf numFmtId="173" fontId="3" fillId="0" borderId="2" xfId="9" applyNumberFormat="1" applyFont="1" applyBorder="1" applyAlignment="1">
      <alignment horizontal="center"/>
    </xf>
    <xf numFmtId="173" fontId="3" fillId="0" borderId="42" xfId="9" applyNumberFormat="1" applyFont="1" applyBorder="1" applyAlignment="1">
      <alignment horizontal="center"/>
    </xf>
    <xf numFmtId="0" fontId="3" fillId="5" borderId="50" xfId="9" applyFont="1" applyFill="1" applyBorder="1" applyAlignment="1">
      <alignment horizontal="right"/>
    </xf>
    <xf numFmtId="0" fontId="3" fillId="5" borderId="49" xfId="9" applyFont="1" applyFill="1" applyBorder="1" applyAlignment="1">
      <alignment horizontal="right"/>
    </xf>
    <xf numFmtId="0" fontId="3" fillId="5" borderId="47" xfId="9" applyFont="1" applyFill="1" applyBorder="1" applyAlignment="1">
      <alignment horizontal="right"/>
    </xf>
    <xf numFmtId="173" fontId="3" fillId="5" borderId="48" xfId="9" applyNumberFormat="1" applyFont="1" applyFill="1" applyBorder="1" applyAlignment="1">
      <alignment horizontal="center"/>
    </xf>
    <xf numFmtId="173" fontId="3" fillId="5" borderId="51" xfId="9" applyNumberFormat="1" applyFont="1" applyFill="1" applyBorder="1" applyAlignment="1">
      <alignment horizontal="center"/>
    </xf>
  </cellXfs>
  <cellStyles count="25">
    <cellStyle name="Millares 2" xfId="6" xr:uid="{00000000-0005-0000-0000-000000000000}"/>
    <cellStyle name="Millares 3" xfId="8" xr:uid="{00000000-0005-0000-0000-000001000000}"/>
    <cellStyle name="Millares 3 2" xfId="18" xr:uid="{00000000-0005-0000-0000-000002000000}"/>
    <cellStyle name="Millares 4" xfId="14" xr:uid="{00000000-0005-0000-0000-000003000000}"/>
    <cellStyle name="Millares 4 2" xfId="21" xr:uid="{00000000-0005-0000-0000-000004000000}"/>
    <cellStyle name="Moneda" xfId="1" builtinId="4"/>
    <cellStyle name="Moneda [0] 2" xfId="4" xr:uid="{00000000-0005-0000-0000-000006000000}"/>
    <cellStyle name="Moneda 2" xfId="3" xr:uid="{00000000-0005-0000-0000-000007000000}"/>
    <cellStyle name="Moneda 2 2" xfId="13" xr:uid="{00000000-0005-0000-0000-000008000000}"/>
    <cellStyle name="Moneda 2 2 2" xfId="20" xr:uid="{00000000-0005-0000-0000-000009000000}"/>
    <cellStyle name="Moneda 3" xfId="16" xr:uid="{00000000-0005-0000-0000-00000A000000}"/>
    <cellStyle name="Moneda 4" xfId="22" xr:uid="{00000000-0005-0000-0000-00000B000000}"/>
    <cellStyle name="Moneda 5" xfId="12" xr:uid="{00000000-0005-0000-0000-00000C000000}"/>
    <cellStyle name="Moneda 5 2" xfId="19" xr:uid="{00000000-0005-0000-0000-00000D000000}"/>
    <cellStyle name="Moneda 6" xfId="7" xr:uid="{00000000-0005-0000-0000-00000E000000}"/>
    <cellStyle name="Moneda 6 2" xfId="17" xr:uid="{00000000-0005-0000-0000-00000F000000}"/>
    <cellStyle name="Moneda 7" xfId="23" xr:uid="{00000000-0005-0000-0000-000010000000}"/>
    <cellStyle name="Moneda 8" xfId="24" xr:uid="{00000000-0005-0000-0000-000011000000}"/>
    <cellStyle name="Normal" xfId="0" builtinId="0"/>
    <cellStyle name="Normal 10" xfId="11" xr:uid="{00000000-0005-0000-0000-000013000000}"/>
    <cellStyle name="Normal 2" xfId="5" xr:uid="{00000000-0005-0000-0000-000014000000}"/>
    <cellStyle name="Normal 4" xfId="9" xr:uid="{00000000-0005-0000-0000-000015000000}"/>
    <cellStyle name="Porcentaje" xfId="2" builtinId="5"/>
    <cellStyle name="Porcentaje 2" xfId="15" xr:uid="{00000000-0005-0000-0000-000017000000}"/>
    <cellStyle name="Porcentaje 2 2" xfId="10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228600</xdr:colOff>
      <xdr:row>2</xdr:row>
      <xdr:rowOff>114300</xdr:rowOff>
    </xdr:from>
    <xdr:to>
      <xdr:col>26</xdr:col>
      <xdr:colOff>681716</xdr:colOff>
      <xdr:row>5</xdr:row>
      <xdr:rowOff>98714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3679015" y="480060"/>
          <a:ext cx="1309327" cy="5829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114301</xdr:colOff>
      <xdr:row>0</xdr:row>
      <xdr:rowOff>30480</xdr:rowOff>
    </xdr:from>
    <xdr:to>
      <xdr:col>1</xdr:col>
      <xdr:colOff>784861</xdr:colOff>
      <xdr:row>5</xdr:row>
      <xdr:rowOff>49255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1" y="30480"/>
          <a:ext cx="1144385" cy="1016302"/>
        </a:xfrm>
        <a:prstGeom prst="rect">
          <a:avLst/>
        </a:prstGeom>
      </xdr:spPr>
    </xdr:pic>
    <xdr:clientData/>
  </xdr:twoCellAnchor>
  <xdr:twoCellAnchor editAs="oneCell">
    <xdr:from>
      <xdr:col>6</xdr:col>
      <xdr:colOff>121589</xdr:colOff>
      <xdr:row>0</xdr:row>
      <xdr:rowOff>53340</xdr:rowOff>
    </xdr:from>
    <xdr:to>
      <xdr:col>7</xdr:col>
      <xdr:colOff>2875</xdr:colOff>
      <xdr:row>4</xdr:row>
      <xdr:rowOff>188302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436789" y="53340"/>
          <a:ext cx="1485643" cy="93298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458121</xdr:colOff>
      <xdr:row>0</xdr:row>
      <xdr:rowOff>125669</xdr:rowOff>
    </xdr:from>
    <xdr:to>
      <xdr:col>1</xdr:col>
      <xdr:colOff>595752</xdr:colOff>
      <xdr:row>5</xdr:row>
      <xdr:rowOff>35722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21" y="125669"/>
          <a:ext cx="1193347" cy="1048897"/>
        </a:xfrm>
        <a:prstGeom prst="rect">
          <a:avLst/>
        </a:prstGeom>
      </xdr:spPr>
    </xdr:pic>
    <xdr:clientData/>
  </xdr:twoCellAnchor>
  <xdr:twoCellAnchor editAs="oneCell">
    <xdr:from>
      <xdr:col>8</xdr:col>
      <xdr:colOff>190203</xdr:colOff>
      <xdr:row>0</xdr:row>
      <xdr:rowOff>198535</xdr:rowOff>
    </xdr:from>
    <xdr:to>
      <xdr:col>8</xdr:col>
      <xdr:colOff>1251799</xdr:colOff>
      <xdr:row>3</xdr:row>
      <xdr:rowOff>127136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985068" y="198535"/>
          <a:ext cx="1061596" cy="69337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345556</xdr:colOff>
      <xdr:row>0</xdr:row>
      <xdr:rowOff>64394</xdr:rowOff>
    </xdr:from>
    <xdr:to>
      <xdr:col>1</xdr:col>
      <xdr:colOff>817445</xdr:colOff>
      <xdr:row>5</xdr:row>
      <xdr:rowOff>52665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4394"/>
          <a:ext cx="1235044" cy="1201929"/>
        </a:xfrm>
        <a:prstGeom prst="rect">
          <a:avLst/>
        </a:prstGeom>
      </xdr:spPr>
    </xdr:pic>
    <xdr:clientData/>
  </xdr:twoCellAnchor>
  <xdr:twoCellAnchor editAs="oneCell">
    <xdr:from>
      <xdr:col>6</xdr:col>
      <xdr:colOff>301328</xdr:colOff>
      <xdr:row>0</xdr:row>
      <xdr:rowOff>182209</xdr:rowOff>
    </xdr:from>
    <xdr:to>
      <xdr:col>7</xdr:col>
      <xdr:colOff>697477</xdr:colOff>
      <xdr:row>4</xdr:row>
      <xdr:rowOff>96320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367146" y="182209"/>
          <a:ext cx="1510057" cy="9116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345556</xdr:colOff>
      <xdr:row>454</xdr:row>
      <xdr:rowOff>64394</xdr:rowOff>
    </xdr:from>
    <xdr:ext cx="1180406" cy="1192272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6016939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454</xdr:row>
      <xdr:rowOff>96591</xdr:rowOff>
    </xdr:from>
    <xdr:ext cx="1415728" cy="731552"/>
    <xdr:pic>
      <xdr:nvPicPr>
        <xdr:cNvPr id="9" name="Imagen 8" descr="logo PDET descarga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420658" y="3604913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356639</xdr:colOff>
      <xdr:row>507</xdr:row>
      <xdr:rowOff>121920</xdr:rowOff>
    </xdr:from>
    <xdr:ext cx="1180406" cy="1192272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639" y="36199156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508</xdr:row>
      <xdr:rowOff>11083</xdr:rowOff>
    </xdr:from>
    <xdr:ext cx="1415728" cy="731552"/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36309992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400975</xdr:colOff>
      <xdr:row>403</xdr:row>
      <xdr:rowOff>153064</xdr:rowOff>
    </xdr:from>
    <xdr:ext cx="1180406" cy="1192272"/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75" y="12256395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432425</xdr:colOff>
      <xdr:row>403</xdr:row>
      <xdr:rowOff>207426</xdr:rowOff>
    </xdr:from>
    <xdr:ext cx="1415728" cy="731552"/>
    <xdr:pic>
      <xdr:nvPicPr>
        <xdr:cNvPr id="21" name="Imagen 20" descr="logo PDET descarga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92454" y="12310757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559</xdr:row>
      <xdr:rowOff>64394</xdr:rowOff>
    </xdr:from>
    <xdr:ext cx="1180406" cy="1192272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574175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559</xdr:row>
      <xdr:rowOff>96591</xdr:rowOff>
    </xdr:from>
    <xdr:ext cx="1415728" cy="731552"/>
    <xdr:pic>
      <xdr:nvPicPr>
        <xdr:cNvPr id="15" name="Imagen 14" descr="logo PDET descarga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574497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612</xdr:row>
      <xdr:rowOff>64394</xdr:rowOff>
    </xdr:from>
    <xdr:ext cx="1180406" cy="1192272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896951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612</xdr:row>
      <xdr:rowOff>96591</xdr:rowOff>
    </xdr:from>
    <xdr:ext cx="1415728" cy="731552"/>
    <xdr:pic>
      <xdr:nvPicPr>
        <xdr:cNvPr id="17" name="Imagen 16" descr="logo PDET descarga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6900171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665</xdr:row>
      <xdr:rowOff>64394</xdr:rowOff>
    </xdr:from>
    <xdr:ext cx="1180406" cy="1192272"/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896951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665</xdr:row>
      <xdr:rowOff>96591</xdr:rowOff>
    </xdr:from>
    <xdr:ext cx="1415728" cy="731552"/>
    <xdr:pic>
      <xdr:nvPicPr>
        <xdr:cNvPr id="19" name="Imagen 18" descr="logo PDET descarga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6900171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824</xdr:row>
      <xdr:rowOff>64394</xdr:rowOff>
    </xdr:from>
    <xdr:ext cx="1180406" cy="1192272"/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896951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824</xdr:row>
      <xdr:rowOff>96591</xdr:rowOff>
    </xdr:from>
    <xdr:ext cx="1415728" cy="731552"/>
    <xdr:pic>
      <xdr:nvPicPr>
        <xdr:cNvPr id="23" name="Imagen 22" descr="logo PDET descarga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6900171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877</xdr:row>
      <xdr:rowOff>64394</xdr:rowOff>
    </xdr:from>
    <xdr:ext cx="1180406" cy="1192272"/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896951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877</xdr:row>
      <xdr:rowOff>96591</xdr:rowOff>
    </xdr:from>
    <xdr:ext cx="1415728" cy="731552"/>
    <xdr:pic>
      <xdr:nvPicPr>
        <xdr:cNvPr id="25" name="Imagen 24" descr="logo PDET descarga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6900171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1036</xdr:row>
      <xdr:rowOff>64394</xdr:rowOff>
    </xdr:from>
    <xdr:ext cx="1180406" cy="1192272"/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896951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1036</xdr:row>
      <xdr:rowOff>96591</xdr:rowOff>
    </xdr:from>
    <xdr:ext cx="1415728" cy="731552"/>
    <xdr:pic>
      <xdr:nvPicPr>
        <xdr:cNvPr id="27" name="Imagen 26" descr="logo PDET descarga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6900171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1803</xdr:row>
      <xdr:rowOff>64394</xdr:rowOff>
    </xdr:from>
    <xdr:ext cx="1180406" cy="1192272"/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896951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1803</xdr:row>
      <xdr:rowOff>96591</xdr:rowOff>
    </xdr:from>
    <xdr:ext cx="1415728" cy="731552"/>
    <xdr:pic>
      <xdr:nvPicPr>
        <xdr:cNvPr id="29" name="Imagen 28" descr="logo PDET descarga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6900171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1857</xdr:row>
      <xdr:rowOff>64394</xdr:rowOff>
    </xdr:from>
    <xdr:ext cx="1180406" cy="1192272"/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896951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1857</xdr:row>
      <xdr:rowOff>96591</xdr:rowOff>
    </xdr:from>
    <xdr:ext cx="1415728" cy="731552"/>
    <xdr:pic>
      <xdr:nvPicPr>
        <xdr:cNvPr id="31" name="Imagen 30" descr="logo PDET descarga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6900171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1963</xdr:row>
      <xdr:rowOff>64394</xdr:rowOff>
    </xdr:from>
    <xdr:ext cx="1180406" cy="1192272"/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896951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1963</xdr:row>
      <xdr:rowOff>96591</xdr:rowOff>
    </xdr:from>
    <xdr:ext cx="1415728" cy="731552"/>
    <xdr:pic>
      <xdr:nvPicPr>
        <xdr:cNvPr id="33" name="Imagen 32" descr="logo PDET descarga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6900171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320156</xdr:colOff>
      <xdr:row>2181</xdr:row>
      <xdr:rowOff>127000</xdr:rowOff>
    </xdr:from>
    <xdr:ext cx="1180406" cy="1192272"/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156" y="350215200"/>
          <a:ext cx="1180406" cy="1192272"/>
        </a:xfrm>
        <a:prstGeom prst="rect">
          <a:avLst/>
        </a:prstGeom>
      </xdr:spPr>
    </xdr:pic>
    <xdr:clientData/>
  </xdr:oneCellAnchor>
  <xdr:oneCellAnchor>
    <xdr:from>
      <xdr:col>0</xdr:col>
      <xdr:colOff>345556</xdr:colOff>
      <xdr:row>2234</xdr:row>
      <xdr:rowOff>64394</xdr:rowOff>
    </xdr:from>
    <xdr:ext cx="1180406" cy="1192272"/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16138487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2234</xdr:row>
      <xdr:rowOff>96591</xdr:rowOff>
    </xdr:from>
    <xdr:ext cx="1415728" cy="731552"/>
    <xdr:pic>
      <xdr:nvPicPr>
        <xdr:cNvPr id="39" name="Imagen 38" descr="logo PDET descarga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18200" y="16141707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718</xdr:row>
      <xdr:rowOff>64394</xdr:rowOff>
    </xdr:from>
    <xdr:ext cx="1180406" cy="1192272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72141281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718</xdr:row>
      <xdr:rowOff>96591</xdr:rowOff>
    </xdr:from>
    <xdr:ext cx="1415728" cy="731552"/>
    <xdr:pic>
      <xdr:nvPicPr>
        <xdr:cNvPr id="13" name="Imagen 12" descr="logo PDET descarga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72173478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930</xdr:row>
      <xdr:rowOff>64394</xdr:rowOff>
    </xdr:from>
    <xdr:ext cx="1180406" cy="1192272"/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107464830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930</xdr:row>
      <xdr:rowOff>96591</xdr:rowOff>
    </xdr:from>
    <xdr:ext cx="1415728" cy="731552"/>
    <xdr:pic>
      <xdr:nvPicPr>
        <xdr:cNvPr id="41" name="Imagen 40" descr="logo PDET descarga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107497027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983</xdr:row>
      <xdr:rowOff>64394</xdr:rowOff>
    </xdr:from>
    <xdr:ext cx="1180406" cy="1192272"/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119435158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983</xdr:row>
      <xdr:rowOff>96591</xdr:rowOff>
    </xdr:from>
    <xdr:ext cx="1415728" cy="731552"/>
    <xdr:pic>
      <xdr:nvPicPr>
        <xdr:cNvPr id="43" name="Imagen 42" descr="logo PDET descarga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119467355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1090</xdr:row>
      <xdr:rowOff>64394</xdr:rowOff>
    </xdr:from>
    <xdr:ext cx="1180406" cy="1192272"/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143375813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1090</xdr:row>
      <xdr:rowOff>96591</xdr:rowOff>
    </xdr:from>
    <xdr:ext cx="1415728" cy="731552"/>
    <xdr:pic>
      <xdr:nvPicPr>
        <xdr:cNvPr id="45" name="Imagen 44" descr="logo PDET descarga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143408010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1144</xdr:row>
      <xdr:rowOff>64394</xdr:rowOff>
    </xdr:from>
    <xdr:ext cx="1180406" cy="1192272"/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155623230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1144</xdr:row>
      <xdr:rowOff>96591</xdr:rowOff>
    </xdr:from>
    <xdr:ext cx="1415728" cy="731552"/>
    <xdr:pic>
      <xdr:nvPicPr>
        <xdr:cNvPr id="47" name="Imagen 46" descr="logo PDET descarga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155655427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1199</xdr:row>
      <xdr:rowOff>64394</xdr:rowOff>
    </xdr:from>
    <xdr:ext cx="1180406" cy="1192272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167870649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1199</xdr:row>
      <xdr:rowOff>96591</xdr:rowOff>
    </xdr:from>
    <xdr:ext cx="1415728" cy="731552"/>
    <xdr:pic>
      <xdr:nvPicPr>
        <xdr:cNvPr id="7" name="Imagen 6" descr="logo PDET descarg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16790284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1577</xdr:row>
      <xdr:rowOff>64394</xdr:rowOff>
    </xdr:from>
    <xdr:ext cx="1180406" cy="1192272"/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180118067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304040</xdr:colOff>
      <xdr:row>1577</xdr:row>
      <xdr:rowOff>172791</xdr:rowOff>
    </xdr:from>
    <xdr:ext cx="1415728" cy="731552"/>
    <xdr:pic>
      <xdr:nvPicPr>
        <xdr:cNvPr id="11" name="Imagen 10" descr="logo PDET descarga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23940" y="3199714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1687</xdr:row>
      <xdr:rowOff>64394</xdr:rowOff>
    </xdr:from>
    <xdr:ext cx="1180406" cy="1192272"/>
    <xdr:pic>
      <xdr:nvPicPr>
        <xdr:cNvPr id="48" name="Imagen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192365485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1687</xdr:row>
      <xdr:rowOff>96591</xdr:rowOff>
    </xdr:from>
    <xdr:ext cx="1415728" cy="731552"/>
    <xdr:pic>
      <xdr:nvPicPr>
        <xdr:cNvPr id="49" name="Imagen 48" descr="logo PDET descarga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192397682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2287</xdr:row>
      <xdr:rowOff>64394</xdr:rowOff>
    </xdr:from>
    <xdr:ext cx="1180406" cy="1192272"/>
    <xdr:pic>
      <xdr:nvPicPr>
        <xdr:cNvPr id="54" name="Imagen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01317630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2287</xdr:row>
      <xdr:rowOff>96591</xdr:rowOff>
    </xdr:from>
    <xdr:ext cx="1415728" cy="731552"/>
    <xdr:pic>
      <xdr:nvPicPr>
        <xdr:cNvPr id="55" name="Imagen 54" descr="logo PDET descarga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301349827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771</xdr:row>
      <xdr:rowOff>64394</xdr:rowOff>
    </xdr:from>
    <xdr:ext cx="1180406" cy="1192272"/>
    <xdr:pic>
      <xdr:nvPicPr>
        <xdr:cNvPr id="58" name="Imagen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83468758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771</xdr:row>
      <xdr:rowOff>96591</xdr:rowOff>
    </xdr:from>
    <xdr:ext cx="1415728" cy="731552"/>
    <xdr:pic>
      <xdr:nvPicPr>
        <xdr:cNvPr id="59" name="Imagen 58" descr="logo PDET descarga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83500955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2447</xdr:row>
      <xdr:rowOff>64394</xdr:rowOff>
    </xdr:from>
    <xdr:ext cx="1180406" cy="1192272"/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37228613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2447</xdr:row>
      <xdr:rowOff>96591</xdr:rowOff>
    </xdr:from>
    <xdr:ext cx="1415728" cy="731552"/>
    <xdr:pic>
      <xdr:nvPicPr>
        <xdr:cNvPr id="61" name="Imagen 60" descr="logo PDET descarga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337260810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2500</xdr:row>
      <xdr:rowOff>64394</xdr:rowOff>
    </xdr:from>
    <xdr:ext cx="1180406" cy="1192272"/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49187855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2500</xdr:row>
      <xdr:rowOff>96591</xdr:rowOff>
    </xdr:from>
    <xdr:ext cx="1415728" cy="731552"/>
    <xdr:pic>
      <xdr:nvPicPr>
        <xdr:cNvPr id="63" name="Imagen 62" descr="logo PDET descarga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349220052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2553</xdr:row>
      <xdr:rowOff>64394</xdr:rowOff>
    </xdr:from>
    <xdr:ext cx="1180406" cy="1192272"/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61147099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2553</xdr:row>
      <xdr:rowOff>96591</xdr:rowOff>
    </xdr:from>
    <xdr:ext cx="1415728" cy="731552"/>
    <xdr:pic>
      <xdr:nvPicPr>
        <xdr:cNvPr id="65" name="Imagen 64" descr="logo PDET descarga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36117929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2714</xdr:row>
      <xdr:rowOff>64394</xdr:rowOff>
    </xdr:from>
    <xdr:ext cx="1180406" cy="1192272"/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73106343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2714</xdr:row>
      <xdr:rowOff>96591</xdr:rowOff>
    </xdr:from>
    <xdr:ext cx="1415728" cy="731552"/>
    <xdr:pic>
      <xdr:nvPicPr>
        <xdr:cNvPr id="67" name="Imagen 66" descr="logo PDET descarga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373138540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2768</xdr:row>
      <xdr:rowOff>64394</xdr:rowOff>
    </xdr:from>
    <xdr:ext cx="1180406" cy="1192272"/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85065587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2768</xdr:row>
      <xdr:rowOff>96591</xdr:rowOff>
    </xdr:from>
    <xdr:ext cx="1415728" cy="731552"/>
    <xdr:pic>
      <xdr:nvPicPr>
        <xdr:cNvPr id="69" name="Imagen 68" descr="logo PDET descarga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514869" y="385097784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2823</xdr:row>
      <xdr:rowOff>64394</xdr:rowOff>
    </xdr:from>
    <xdr:ext cx="1180406" cy="1192272"/>
    <xdr:pic>
      <xdr:nvPicPr>
        <xdr:cNvPr id="70" name="Imagen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877572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2823</xdr:row>
      <xdr:rowOff>96591</xdr:rowOff>
    </xdr:from>
    <xdr:ext cx="1415728" cy="731552"/>
    <xdr:pic>
      <xdr:nvPicPr>
        <xdr:cNvPr id="71" name="Imagen 70" descr="logo PDET descarga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755640" y="3877894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2875</xdr:row>
      <xdr:rowOff>64394</xdr:rowOff>
    </xdr:from>
    <xdr:ext cx="1180406" cy="1192272"/>
    <xdr:pic>
      <xdr:nvPicPr>
        <xdr:cNvPr id="72" name="Imagen 71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998730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2875</xdr:row>
      <xdr:rowOff>96591</xdr:rowOff>
    </xdr:from>
    <xdr:ext cx="1415728" cy="731552"/>
    <xdr:pic>
      <xdr:nvPicPr>
        <xdr:cNvPr id="73" name="Imagen 72" descr="logo PDET descarga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857240" y="3999052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400975</xdr:colOff>
      <xdr:row>53</xdr:row>
      <xdr:rowOff>153064</xdr:rowOff>
    </xdr:from>
    <xdr:ext cx="1180406" cy="1192272"/>
    <xdr:pic>
      <xdr:nvPicPr>
        <xdr:cNvPr id="74" name="Imagen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75" y="4132646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432425</xdr:colOff>
      <xdr:row>53</xdr:row>
      <xdr:rowOff>207426</xdr:rowOff>
    </xdr:from>
    <xdr:ext cx="1415728" cy="731552"/>
    <xdr:pic>
      <xdr:nvPicPr>
        <xdr:cNvPr id="75" name="Imagen 74" descr="logo PDET descarga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34825" y="4138082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400975</xdr:colOff>
      <xdr:row>103</xdr:row>
      <xdr:rowOff>153064</xdr:rowOff>
    </xdr:from>
    <xdr:ext cx="1180406" cy="1192272"/>
    <xdr:pic>
      <xdr:nvPicPr>
        <xdr:cNvPr id="76" name="Imagen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75" y="1196406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432425</xdr:colOff>
      <xdr:row>103</xdr:row>
      <xdr:rowOff>207426</xdr:rowOff>
    </xdr:from>
    <xdr:ext cx="1415728" cy="731552"/>
    <xdr:pic>
      <xdr:nvPicPr>
        <xdr:cNvPr id="77" name="Imagen 76" descr="logo PDET descarga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34825" y="1201842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400975</xdr:colOff>
      <xdr:row>153</xdr:row>
      <xdr:rowOff>153064</xdr:rowOff>
    </xdr:from>
    <xdr:ext cx="1180406" cy="1192272"/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75" y="2345756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432425</xdr:colOff>
      <xdr:row>153</xdr:row>
      <xdr:rowOff>207426</xdr:rowOff>
    </xdr:from>
    <xdr:ext cx="1415728" cy="731552"/>
    <xdr:pic>
      <xdr:nvPicPr>
        <xdr:cNvPr id="79" name="Imagen 78" descr="logo PDET descarga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34825" y="2351192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400975</xdr:colOff>
      <xdr:row>203</xdr:row>
      <xdr:rowOff>153064</xdr:rowOff>
    </xdr:from>
    <xdr:ext cx="1180406" cy="1192272"/>
    <xdr:pic>
      <xdr:nvPicPr>
        <xdr:cNvPr id="80" name="Imagen 7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75" y="3495106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432425</xdr:colOff>
      <xdr:row>203</xdr:row>
      <xdr:rowOff>207426</xdr:rowOff>
    </xdr:from>
    <xdr:ext cx="1415728" cy="731552"/>
    <xdr:pic>
      <xdr:nvPicPr>
        <xdr:cNvPr id="81" name="Imagen 80" descr="logo PDET descarga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34825" y="3500542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400975</xdr:colOff>
      <xdr:row>303</xdr:row>
      <xdr:rowOff>153064</xdr:rowOff>
    </xdr:from>
    <xdr:ext cx="1180406" cy="1192272"/>
    <xdr:pic>
      <xdr:nvPicPr>
        <xdr:cNvPr id="82" name="Imagen 81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75" y="4514916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432425</xdr:colOff>
      <xdr:row>303</xdr:row>
      <xdr:rowOff>207426</xdr:rowOff>
    </xdr:from>
    <xdr:ext cx="1415728" cy="731552"/>
    <xdr:pic>
      <xdr:nvPicPr>
        <xdr:cNvPr id="83" name="Imagen 82" descr="logo PDET descarga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34825" y="4520352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2017</xdr:row>
      <xdr:rowOff>64394</xdr:rowOff>
    </xdr:from>
    <xdr:ext cx="1180406" cy="1192272"/>
    <xdr:pic>
      <xdr:nvPicPr>
        <xdr:cNvPr id="84" name="Imagen 83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262257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2017</xdr:row>
      <xdr:rowOff>96591</xdr:rowOff>
    </xdr:from>
    <xdr:ext cx="1415728" cy="731552"/>
    <xdr:pic>
      <xdr:nvPicPr>
        <xdr:cNvPr id="85" name="Imagen 84" descr="logo PDET descarga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857240" y="3262579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6</xdr:col>
      <xdr:colOff>342140</xdr:colOff>
      <xdr:row>2181</xdr:row>
      <xdr:rowOff>177800</xdr:rowOff>
    </xdr:from>
    <xdr:ext cx="1415728" cy="731552"/>
    <xdr:pic>
      <xdr:nvPicPr>
        <xdr:cNvPr id="86" name="Imagen 85" descr="logo PDET descarga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844540" y="350266000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2341</xdr:row>
      <xdr:rowOff>64394</xdr:rowOff>
    </xdr:from>
    <xdr:ext cx="1180406" cy="1192272"/>
    <xdr:pic>
      <xdr:nvPicPr>
        <xdr:cNvPr id="87" name="Imagen 8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735332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2341</xdr:row>
      <xdr:rowOff>96591</xdr:rowOff>
    </xdr:from>
    <xdr:ext cx="1415728" cy="731552"/>
    <xdr:pic>
      <xdr:nvPicPr>
        <xdr:cNvPr id="88" name="Imagen 87" descr="logo PDET descarga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857240" y="3735654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400975</xdr:colOff>
      <xdr:row>353</xdr:row>
      <xdr:rowOff>153064</xdr:rowOff>
    </xdr:from>
    <xdr:ext cx="1180406" cy="1192272"/>
    <xdr:pic>
      <xdr:nvPicPr>
        <xdr:cNvPr id="91" name="Imagen 9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75" y="5604576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432425</xdr:colOff>
      <xdr:row>353</xdr:row>
      <xdr:rowOff>207426</xdr:rowOff>
    </xdr:from>
    <xdr:ext cx="1415728" cy="731552"/>
    <xdr:pic>
      <xdr:nvPicPr>
        <xdr:cNvPr id="92" name="Imagen 91" descr="logo PDET descarga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2625" y="5610012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2607</xdr:row>
      <xdr:rowOff>64394</xdr:rowOff>
    </xdr:from>
    <xdr:ext cx="1180406" cy="1192272"/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5064133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2607</xdr:row>
      <xdr:rowOff>96591</xdr:rowOff>
    </xdr:from>
    <xdr:ext cx="1415728" cy="731552"/>
    <xdr:pic>
      <xdr:nvPicPr>
        <xdr:cNvPr id="98" name="Imagen 97" descr="logo PDET descarga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35040" y="5064455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2661</xdr:row>
      <xdr:rowOff>64394</xdr:rowOff>
    </xdr:from>
    <xdr:ext cx="1180406" cy="1192272"/>
    <xdr:pic>
      <xdr:nvPicPr>
        <xdr:cNvPr id="99" name="Imagen 9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4860933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2661</xdr:row>
      <xdr:rowOff>96591</xdr:rowOff>
    </xdr:from>
    <xdr:ext cx="1415728" cy="731552"/>
    <xdr:pic>
      <xdr:nvPicPr>
        <xdr:cNvPr id="100" name="Imagen 99" descr="logo PDET descarga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35040" y="4861255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1254</xdr:row>
      <xdr:rowOff>64394</xdr:rowOff>
    </xdr:from>
    <xdr:ext cx="1180406" cy="1192272"/>
    <xdr:pic>
      <xdr:nvPicPr>
        <xdr:cNvPr id="101" name="Imagen 100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2611255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1254</xdr:row>
      <xdr:rowOff>96591</xdr:rowOff>
    </xdr:from>
    <xdr:ext cx="1415728" cy="731552"/>
    <xdr:pic>
      <xdr:nvPicPr>
        <xdr:cNvPr id="102" name="Imagen 101" descr="logo PDET descarga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35040" y="2611577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1306</xdr:row>
      <xdr:rowOff>64394</xdr:rowOff>
    </xdr:from>
    <xdr:ext cx="1180406" cy="1192272"/>
    <xdr:pic>
      <xdr:nvPicPr>
        <xdr:cNvPr id="103" name="Imagen 102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2732794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1306</xdr:row>
      <xdr:rowOff>96591</xdr:rowOff>
    </xdr:from>
    <xdr:ext cx="1415728" cy="731552"/>
    <xdr:pic>
      <xdr:nvPicPr>
        <xdr:cNvPr id="104" name="Imagen 103" descr="logo PDET descarga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35040" y="2733116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1358</xdr:row>
      <xdr:rowOff>64394</xdr:rowOff>
    </xdr:from>
    <xdr:ext cx="1180406" cy="1192272"/>
    <xdr:pic>
      <xdr:nvPicPr>
        <xdr:cNvPr id="105" name="Imagen 10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2853952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1358</xdr:row>
      <xdr:rowOff>96591</xdr:rowOff>
    </xdr:from>
    <xdr:ext cx="1415728" cy="731552"/>
    <xdr:pic>
      <xdr:nvPicPr>
        <xdr:cNvPr id="106" name="Imagen 105" descr="logo PDET descarga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35040" y="2854274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1461</xdr:row>
      <xdr:rowOff>64394</xdr:rowOff>
    </xdr:from>
    <xdr:ext cx="1180406" cy="1192272"/>
    <xdr:pic>
      <xdr:nvPicPr>
        <xdr:cNvPr id="107" name="Imagen 106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846838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1461</xdr:row>
      <xdr:rowOff>96591</xdr:rowOff>
    </xdr:from>
    <xdr:ext cx="1415728" cy="731552"/>
    <xdr:pic>
      <xdr:nvPicPr>
        <xdr:cNvPr id="108" name="Imagen 107" descr="logo PDET descarga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74740" y="3847160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1461</xdr:row>
      <xdr:rowOff>64394</xdr:rowOff>
    </xdr:from>
    <xdr:ext cx="1180406" cy="1192272"/>
    <xdr:pic>
      <xdr:nvPicPr>
        <xdr:cNvPr id="111" name="Imagen 110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692660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1461</xdr:row>
      <xdr:rowOff>96591</xdr:rowOff>
    </xdr:from>
    <xdr:ext cx="1415728" cy="731552"/>
    <xdr:pic>
      <xdr:nvPicPr>
        <xdr:cNvPr id="112" name="Imagen 111" descr="logo PDET descarga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74740" y="3692982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1410</xdr:row>
      <xdr:rowOff>64394</xdr:rowOff>
    </xdr:from>
    <xdr:ext cx="1180406" cy="1192272"/>
    <xdr:pic>
      <xdr:nvPicPr>
        <xdr:cNvPr id="113" name="Imagen 112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2964061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1410</xdr:row>
      <xdr:rowOff>96591</xdr:rowOff>
    </xdr:from>
    <xdr:ext cx="1415728" cy="731552"/>
    <xdr:pic>
      <xdr:nvPicPr>
        <xdr:cNvPr id="114" name="Imagen 113" descr="logo PDET descarga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74740" y="2964383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395071</xdr:colOff>
      <xdr:row>2126</xdr:row>
      <xdr:rowOff>119320</xdr:rowOff>
    </xdr:from>
    <xdr:ext cx="1103244" cy="1114334"/>
    <xdr:pic>
      <xdr:nvPicPr>
        <xdr:cNvPr id="110" name="Imagen 109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071" y="429857354"/>
          <a:ext cx="1103244" cy="1114334"/>
        </a:xfrm>
        <a:prstGeom prst="rect">
          <a:avLst/>
        </a:prstGeom>
      </xdr:spPr>
    </xdr:pic>
    <xdr:clientData/>
  </xdr:oneCellAnchor>
  <xdr:oneCellAnchor>
    <xdr:from>
      <xdr:col>6</xdr:col>
      <xdr:colOff>342140</xdr:colOff>
      <xdr:row>2126</xdr:row>
      <xdr:rowOff>177800</xdr:rowOff>
    </xdr:from>
    <xdr:ext cx="1415728" cy="731552"/>
    <xdr:pic>
      <xdr:nvPicPr>
        <xdr:cNvPr id="115" name="Imagen 114" descr="logo PDET descarga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62040" y="469455500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2393</xdr:row>
      <xdr:rowOff>64394</xdr:rowOff>
    </xdr:from>
    <xdr:ext cx="1180406" cy="1192272"/>
    <xdr:pic>
      <xdr:nvPicPr>
        <xdr:cNvPr id="116" name="Imagen 115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5094232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2393</xdr:row>
      <xdr:rowOff>96591</xdr:rowOff>
    </xdr:from>
    <xdr:ext cx="1415728" cy="731552"/>
    <xdr:pic>
      <xdr:nvPicPr>
        <xdr:cNvPr id="117" name="Imagen 116" descr="logo PDET descarga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74740" y="5094554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1632</xdr:row>
      <xdr:rowOff>64394</xdr:rowOff>
    </xdr:from>
    <xdr:ext cx="1180406" cy="1192272"/>
    <xdr:pic>
      <xdr:nvPicPr>
        <xdr:cNvPr id="118" name="Imagen 11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244858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304040</xdr:colOff>
      <xdr:row>1632</xdr:row>
      <xdr:rowOff>172791</xdr:rowOff>
    </xdr:from>
    <xdr:ext cx="1415728" cy="731552"/>
    <xdr:pic>
      <xdr:nvPicPr>
        <xdr:cNvPr id="119" name="Imagen 118" descr="logo PDET descarga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23940" y="3245942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1516</xdr:row>
      <xdr:rowOff>64394</xdr:rowOff>
    </xdr:from>
    <xdr:ext cx="1180406" cy="1192272"/>
    <xdr:pic>
      <xdr:nvPicPr>
        <xdr:cNvPr id="109" name="Imagen 10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123319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1516</xdr:row>
      <xdr:rowOff>96591</xdr:rowOff>
    </xdr:from>
    <xdr:ext cx="1415728" cy="731552"/>
    <xdr:pic>
      <xdr:nvPicPr>
        <xdr:cNvPr id="120" name="Imagen 119" descr="logo PDET descarga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74740" y="3123641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1516</xdr:row>
      <xdr:rowOff>64394</xdr:rowOff>
    </xdr:from>
    <xdr:ext cx="1180406" cy="1192272"/>
    <xdr:pic>
      <xdr:nvPicPr>
        <xdr:cNvPr id="121" name="Imagen 120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12331994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1516</xdr:row>
      <xdr:rowOff>96591</xdr:rowOff>
    </xdr:from>
    <xdr:ext cx="1415728" cy="731552"/>
    <xdr:pic>
      <xdr:nvPicPr>
        <xdr:cNvPr id="122" name="Imagen 121" descr="logo PDET descarga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74740" y="312364191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400975</xdr:colOff>
      <xdr:row>253</xdr:row>
      <xdr:rowOff>153064</xdr:rowOff>
    </xdr:from>
    <xdr:ext cx="1180406" cy="1192272"/>
    <xdr:pic>
      <xdr:nvPicPr>
        <xdr:cNvPr id="123" name="Imagen 12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75" y="44813542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432425</xdr:colOff>
      <xdr:row>253</xdr:row>
      <xdr:rowOff>207426</xdr:rowOff>
    </xdr:from>
    <xdr:ext cx="1415728" cy="731552"/>
    <xdr:pic>
      <xdr:nvPicPr>
        <xdr:cNvPr id="124" name="Imagen 123" descr="logo PDET descarga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485206" y="44867904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2071</xdr:row>
      <xdr:rowOff>64394</xdr:rowOff>
    </xdr:from>
    <xdr:ext cx="1180406" cy="1192272"/>
    <xdr:pic>
      <xdr:nvPicPr>
        <xdr:cNvPr id="35" name="Imagen 34">
          <a:extLst>
            <a:ext uri="{FF2B5EF4-FFF2-40B4-BE49-F238E27FC236}">
              <a16:creationId xmlns:a16="http://schemas.microsoft.com/office/drawing/2014/main" id="{99D7D43E-B8A0-424D-9363-B80F64D56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418633563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2071</xdr:row>
      <xdr:rowOff>96591</xdr:rowOff>
    </xdr:from>
    <xdr:ext cx="1415728" cy="731552"/>
    <xdr:pic>
      <xdr:nvPicPr>
        <xdr:cNvPr id="36" name="Imagen 35" descr="logo PDET descarga">
          <a:extLst>
            <a:ext uri="{FF2B5EF4-FFF2-40B4-BE49-F238E27FC236}">
              <a16:creationId xmlns:a16="http://schemas.microsoft.com/office/drawing/2014/main" id="{6830D4DC-7198-4DEF-81E0-DCB042B67A09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275282" y="418665760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1742</xdr:row>
      <xdr:rowOff>64394</xdr:rowOff>
    </xdr:from>
    <xdr:ext cx="1180406" cy="1192272"/>
    <xdr:pic>
      <xdr:nvPicPr>
        <xdr:cNvPr id="37" name="Imagen 36">
          <a:extLst>
            <a:ext uri="{FF2B5EF4-FFF2-40B4-BE49-F238E27FC236}">
              <a16:creationId xmlns:a16="http://schemas.microsoft.com/office/drawing/2014/main" id="{99B22696-4704-4785-ABB9-D7E1BFCB1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33507500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1742</xdr:row>
      <xdr:rowOff>96591</xdr:rowOff>
    </xdr:from>
    <xdr:ext cx="1415728" cy="731552"/>
    <xdr:pic>
      <xdr:nvPicPr>
        <xdr:cNvPr id="50" name="Imagen 49" descr="logo PDET descarga">
          <a:extLst>
            <a:ext uri="{FF2B5EF4-FFF2-40B4-BE49-F238E27FC236}">
              <a16:creationId xmlns:a16="http://schemas.microsoft.com/office/drawing/2014/main" id="{14BCC1D1-BA98-4A66-A034-D898AB1FA1DF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275282" y="333539697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1742</xdr:row>
      <xdr:rowOff>64394</xdr:rowOff>
    </xdr:from>
    <xdr:ext cx="1180406" cy="1192272"/>
    <xdr:pic>
      <xdr:nvPicPr>
        <xdr:cNvPr id="51" name="Imagen 50">
          <a:extLst>
            <a:ext uri="{FF2B5EF4-FFF2-40B4-BE49-F238E27FC236}">
              <a16:creationId xmlns:a16="http://schemas.microsoft.com/office/drawing/2014/main" id="{C57925B2-6656-4E69-957F-65DE947F2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33507500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1742</xdr:row>
      <xdr:rowOff>96591</xdr:rowOff>
    </xdr:from>
    <xdr:ext cx="1415728" cy="731552"/>
    <xdr:pic>
      <xdr:nvPicPr>
        <xdr:cNvPr id="52" name="Imagen 51" descr="logo PDET descarga">
          <a:extLst>
            <a:ext uri="{FF2B5EF4-FFF2-40B4-BE49-F238E27FC236}">
              <a16:creationId xmlns:a16="http://schemas.microsoft.com/office/drawing/2014/main" id="{EF775D58-2744-442C-90FF-FC4ACD0617BA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275282" y="333539697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1910</xdr:row>
      <xdr:rowOff>64394</xdr:rowOff>
    </xdr:from>
    <xdr:ext cx="1180406" cy="1192272"/>
    <xdr:pic>
      <xdr:nvPicPr>
        <xdr:cNvPr id="53" name="Imagen 52">
          <a:extLst>
            <a:ext uri="{FF2B5EF4-FFF2-40B4-BE49-F238E27FC236}">
              <a16:creationId xmlns:a16="http://schemas.microsoft.com/office/drawing/2014/main" id="{B2585963-67E2-4461-83B8-C278B1A80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408490167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1910</xdr:row>
      <xdr:rowOff>96591</xdr:rowOff>
    </xdr:from>
    <xdr:ext cx="1415728" cy="731552"/>
    <xdr:pic>
      <xdr:nvPicPr>
        <xdr:cNvPr id="56" name="Imagen 55" descr="logo PDET descarga">
          <a:extLst>
            <a:ext uri="{FF2B5EF4-FFF2-40B4-BE49-F238E27FC236}">
              <a16:creationId xmlns:a16="http://schemas.microsoft.com/office/drawing/2014/main" id="{FF6CF68F-FE08-4A0A-844D-D6B466854219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275282" y="408522364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206594</xdr:colOff>
      <xdr:row>0</xdr:row>
      <xdr:rowOff>132184</xdr:rowOff>
    </xdr:from>
    <xdr:to>
      <xdr:col>1</xdr:col>
      <xdr:colOff>917045</xdr:colOff>
      <xdr:row>5</xdr:row>
      <xdr:rowOff>133956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594" y="132184"/>
          <a:ext cx="1259091" cy="974361"/>
        </a:xfrm>
        <a:prstGeom prst="rect">
          <a:avLst/>
        </a:prstGeom>
      </xdr:spPr>
    </xdr:pic>
    <xdr:clientData/>
  </xdr:twoCellAnchor>
  <xdr:twoCellAnchor editAs="oneCell">
    <xdr:from>
      <xdr:col>12</xdr:col>
      <xdr:colOff>187230</xdr:colOff>
      <xdr:row>0</xdr:row>
      <xdr:rowOff>17594</xdr:rowOff>
    </xdr:from>
    <xdr:to>
      <xdr:col>13</xdr:col>
      <xdr:colOff>1059297</xdr:colOff>
      <xdr:row>6</xdr:row>
      <xdr:rowOff>28846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14226502" y="17594"/>
          <a:ext cx="1915777" cy="120274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206594</xdr:colOff>
      <xdr:row>0</xdr:row>
      <xdr:rowOff>132184</xdr:rowOff>
    </xdr:from>
    <xdr:to>
      <xdr:col>1</xdr:col>
      <xdr:colOff>917045</xdr:colOff>
      <xdr:row>5</xdr:row>
      <xdr:rowOff>133956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84182B-789F-405F-B0A4-1C26BAEA2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594" y="132184"/>
          <a:ext cx="1259091" cy="974361"/>
        </a:xfrm>
        <a:prstGeom prst="rect">
          <a:avLst/>
        </a:prstGeom>
      </xdr:spPr>
    </xdr:pic>
    <xdr:clientData/>
  </xdr:twoCellAnchor>
  <xdr:twoCellAnchor editAs="oneCell">
    <xdr:from>
      <xdr:col>12</xdr:col>
      <xdr:colOff>187230</xdr:colOff>
      <xdr:row>0</xdr:row>
      <xdr:rowOff>17594</xdr:rowOff>
    </xdr:from>
    <xdr:to>
      <xdr:col>13</xdr:col>
      <xdr:colOff>1059297</xdr:colOff>
      <xdr:row>6</xdr:row>
      <xdr:rowOff>28846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34F938EF-DA39-49BB-B71B-42C2173004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14219114" y="17594"/>
          <a:ext cx="1911158" cy="11833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122766</xdr:colOff>
      <xdr:row>0</xdr:row>
      <xdr:rowOff>211667</xdr:rowOff>
    </xdr:from>
    <xdr:to>
      <xdr:col>2</xdr:col>
      <xdr:colOff>575733</xdr:colOff>
      <xdr:row>5</xdr:row>
      <xdr:rowOff>19506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039" y="211667"/>
          <a:ext cx="1167861" cy="1029810"/>
        </a:xfrm>
        <a:prstGeom prst="rect">
          <a:avLst/>
        </a:prstGeom>
      </xdr:spPr>
    </xdr:pic>
    <xdr:clientData/>
  </xdr:twoCellAnchor>
  <xdr:twoCellAnchor editAs="oneCell">
    <xdr:from>
      <xdr:col>6</xdr:col>
      <xdr:colOff>201083</xdr:colOff>
      <xdr:row>2</xdr:row>
      <xdr:rowOff>31750</xdr:rowOff>
    </xdr:from>
    <xdr:to>
      <xdr:col>6</xdr:col>
      <xdr:colOff>1258358</xdr:colOff>
      <xdr:row>4</xdr:row>
      <xdr:rowOff>78528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358341" y="488950"/>
          <a:ext cx="1057275" cy="60373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207721</xdr:colOff>
      <xdr:row>0</xdr:row>
      <xdr:rowOff>38100</xdr:rowOff>
    </xdr:from>
    <xdr:to>
      <xdr:col>0</xdr:col>
      <xdr:colOff>1211856</xdr:colOff>
      <xdr:row>5</xdr:row>
      <xdr:rowOff>160020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21" y="38100"/>
          <a:ext cx="1004135" cy="1036320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</xdr:colOff>
      <xdr:row>0</xdr:row>
      <xdr:rowOff>152400</xdr:rowOff>
    </xdr:from>
    <xdr:to>
      <xdr:col>5</xdr:col>
      <xdr:colOff>1219200</xdr:colOff>
      <xdr:row>4</xdr:row>
      <xdr:rowOff>78105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227743" y="152400"/>
          <a:ext cx="1057275" cy="6572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20.2\Carpetas%20Compartidas\Documents%20and%20Settings\Administrador\Escritorio\LICITACIONES%202009\LA%20CRUZ%20TAJUMBINA\Programcion%20la%20Cruz%20tajumbina\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20.2\Carpetas%20Compartidas\PROGRAMACION%202007\PROPUESTA%20ORQUIDEA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dor\Escritorio\LICITACIONES%202009\LA%20CRUZ%20TAJUMBINA\Programcion%20la%20Cruz%20tajumbina\APU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ocalhost\C$\Users\JEISSON\Desktop\ALCALDIA%20DORADA\PUENTES\PUENTES\LA%20GUISITA\LA%20GUISITA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DISUM\autoguardado%20Ppto.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ocalhost\C$\Users\JEISSON\Desktop\ALCALDIA%20DORADA\MARIA%20AUXILIADORA\MARIA%20AUXILIADO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AUTOMATICA"/>
      <sheetName val="4. Ficha tecnica por actividad"/>
      <sheetName val="Listas"/>
      <sheetName val="3. Mediciones"/>
      <sheetName val="0. Tareas"/>
      <sheetName val="1. Estructura WBS"/>
      <sheetName val="PRESUPUESTO"/>
      <sheetName val="Base Da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1,1"/>
      <sheetName val="12"/>
      <sheetName val="13"/>
      <sheetName val="14"/>
      <sheetName val="15"/>
      <sheetName val="16"/>
      <sheetName val="17"/>
      <sheetName val="17,1"/>
      <sheetName val="17,2"/>
      <sheetName val="18"/>
      <sheetName val="18,1"/>
      <sheetName val="18,2"/>
      <sheetName val="19"/>
      <sheetName val="19,1"/>
      <sheetName val="19,2"/>
      <sheetName val="20"/>
      <sheetName val="21"/>
      <sheetName val="22"/>
      <sheetName val="23"/>
      <sheetName val="26"/>
      <sheetName val="27"/>
      <sheetName val="28"/>
      <sheetName val="29"/>
      <sheetName val="31"/>
      <sheetName val="30"/>
      <sheetName val="32"/>
      <sheetName val="33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>
        <row r="4">
          <cell r="B4">
            <v>0</v>
          </cell>
        </row>
      </sheetData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  <sheetName val="LISTA DE PRECIOS"/>
      <sheetName val="PARAFISC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O"/>
      <sheetName val="PRESUPUESTO"/>
      <sheetName val="APUS"/>
      <sheetName val="MEMORIA CANTIDADES"/>
      <sheetName val="Memoria de Cantidades"/>
      <sheetName val="F.M "/>
      <sheetName val="FLUJO DE INVERSION "/>
      <sheetName val="CRONOGRAMA"/>
      <sheetName val="DESGLOSE AIU"/>
      <sheetName val="BASICOS RURAL"/>
    </sheetNames>
    <sheetDataSet>
      <sheetData sheetId="0"/>
      <sheetData sheetId="1">
        <row r="6">
          <cell r="F6">
            <v>45402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MEM-OBRA"/>
      <sheetName val="PROOGRAMACION DE OBRA"/>
      <sheetName val="A.P.U-OBRA-HIDRO"/>
      <sheetName val="HERRAMIENTA; EQUIPOS Y TRANS"/>
      <sheetName val="INSUMOS"/>
      <sheetName val="MEM-HIDRO"/>
      <sheetName val="PPTO-ELEC"/>
      <sheetName val="APU-ELEC 1"/>
      <sheetName val="APU-ELEC 2"/>
      <sheetName val="DESGL. AIU"/>
      <sheetName val="INTERVENTORIA"/>
      <sheetName val="PERSONAL"/>
      <sheetName val="FM"/>
      <sheetName val="PMA"/>
      <sheetName val="PMT"/>
      <sheetName val="siso"/>
      <sheetName val="autoguardado Pp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O"/>
      <sheetName val="PRESUPUESTO"/>
      <sheetName val="APUS"/>
      <sheetName val="MEMORIA CANTIDADES"/>
      <sheetName val="Memoria de Cantidades"/>
      <sheetName val="FLUJO DE INVERSION "/>
      <sheetName val=" CRONOGRAMA"/>
      <sheetName val="F.M "/>
      <sheetName val="DESGLOSE AIU"/>
    </sheetNames>
    <sheetDataSet>
      <sheetData sheetId="0"/>
      <sheetData sheetId="1">
        <row r="6">
          <cell r="F6">
            <v>45402</v>
          </cell>
        </row>
        <row r="37">
          <cell r="G37">
            <v>8113869.6100000003</v>
          </cell>
        </row>
        <row r="38">
          <cell r="G38">
            <v>601027.38</v>
          </cell>
        </row>
        <row r="39">
          <cell r="G39">
            <v>901541.07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96"/>
  <sheetViews>
    <sheetView showGridLines="0" tabSelected="1" view="pageBreakPreview" topLeftCell="A4" zoomScaleNormal="100" zoomScaleSheetLayoutView="100" workbookViewId="0">
      <selection activeCell="A8" sqref="A8:G9"/>
    </sheetView>
  </sheetViews>
  <sheetFormatPr baseColWidth="10" defaultColWidth="11.44140625" defaultRowHeight="14.4" x14ac:dyDescent="0.3"/>
  <cols>
    <col min="1" max="1" width="6.33203125" style="51" customWidth="1"/>
    <col min="2" max="2" width="12.6640625" style="51" customWidth="1"/>
    <col min="3" max="3" width="58.33203125" style="52" customWidth="1"/>
    <col min="4" max="4" width="8.88671875" style="51" customWidth="1"/>
    <col min="5" max="5" width="9.33203125" style="51" customWidth="1"/>
    <col min="6" max="6" width="14" style="53" customWidth="1"/>
    <col min="7" max="7" width="21.44140625" style="33" customWidth="1"/>
    <col min="8" max="8" width="17.44140625" style="33" customWidth="1"/>
    <col min="9" max="9" width="17.88671875" style="34" customWidth="1"/>
    <col min="10" max="10" width="18.44140625" style="23" customWidth="1"/>
    <col min="11" max="11" width="14.6640625" style="23" customWidth="1"/>
    <col min="12" max="12" width="12.33203125" style="3" customWidth="1"/>
    <col min="13" max="13" width="11.5546875" style="3" customWidth="1"/>
    <col min="14" max="14" width="10.6640625" style="3" customWidth="1"/>
    <col min="15" max="15" width="16.44140625" style="3" customWidth="1"/>
    <col min="16" max="16" width="23.88671875" style="3" customWidth="1"/>
    <col min="17" max="17" width="17.88671875" style="3" bestFit="1" customWidth="1"/>
    <col min="18" max="18" width="11.44140625" style="3"/>
    <col min="19" max="19" width="30" style="3" customWidth="1"/>
    <col min="20" max="20" width="22.109375" style="4" customWidth="1"/>
    <col min="21" max="16384" width="11.44140625" style="3"/>
  </cols>
  <sheetData>
    <row r="1" spans="1:27" ht="15.05" customHeight="1" x14ac:dyDescent="0.3">
      <c r="A1" s="379"/>
      <c r="B1" s="379"/>
      <c r="C1" s="380" t="s">
        <v>2</v>
      </c>
      <c r="D1" s="382" t="s">
        <v>3</v>
      </c>
      <c r="E1" s="383"/>
      <c r="F1" s="1">
        <v>103</v>
      </c>
      <c r="G1" s="395"/>
      <c r="H1" s="2"/>
      <c r="I1"/>
      <c r="J1"/>
      <c r="K1"/>
      <c r="L1"/>
      <c r="T1" s="3"/>
      <c r="AA1" s="4"/>
    </row>
    <row r="2" spans="1:27" ht="16.55" customHeight="1" x14ac:dyDescent="0.3">
      <c r="A2" s="379"/>
      <c r="B2" s="379"/>
      <c r="C2" s="381"/>
      <c r="D2" s="396" t="s">
        <v>4</v>
      </c>
      <c r="E2" s="397"/>
      <c r="F2" s="400">
        <v>51</v>
      </c>
      <c r="G2" s="395"/>
      <c r="H2" s="2"/>
      <c r="I2"/>
      <c r="J2"/>
      <c r="K2"/>
      <c r="L2"/>
      <c r="T2" s="3"/>
      <c r="AA2" s="4"/>
    </row>
    <row r="3" spans="1:27" ht="16.55" customHeight="1" x14ac:dyDescent="0.3">
      <c r="A3" s="379"/>
      <c r="B3" s="379"/>
      <c r="C3" s="5" t="s">
        <v>5</v>
      </c>
      <c r="D3" s="398"/>
      <c r="E3" s="399"/>
      <c r="F3" s="401"/>
      <c r="G3" s="395"/>
      <c r="H3" s="2"/>
      <c r="I3"/>
      <c r="J3"/>
      <c r="K3"/>
      <c r="L3"/>
      <c r="T3" s="3"/>
      <c r="AA3" s="4"/>
    </row>
    <row r="4" spans="1:27" ht="15.05" x14ac:dyDescent="0.3">
      <c r="A4" s="379"/>
      <c r="B4" s="379"/>
      <c r="C4" s="6" t="s">
        <v>6</v>
      </c>
      <c r="D4" s="402" t="s">
        <v>7</v>
      </c>
      <c r="E4" s="403"/>
      <c r="F4" s="7">
        <v>1</v>
      </c>
      <c r="G4" s="395"/>
      <c r="H4" s="2"/>
      <c r="I4"/>
      <c r="J4"/>
      <c r="K4"/>
      <c r="L4"/>
      <c r="T4" s="3"/>
      <c r="AA4" s="4"/>
    </row>
    <row r="5" spans="1:27" ht="15.75" customHeight="1" x14ac:dyDescent="0.3">
      <c r="A5" s="379"/>
      <c r="B5" s="379"/>
      <c r="C5" s="404" t="s">
        <v>8</v>
      </c>
      <c r="D5" s="404" t="s">
        <v>9</v>
      </c>
      <c r="E5" s="404"/>
      <c r="F5" s="5" t="s">
        <v>10</v>
      </c>
      <c r="G5" s="395"/>
      <c r="H5" s="2"/>
      <c r="I5"/>
      <c r="J5"/>
      <c r="K5"/>
      <c r="L5"/>
      <c r="T5" s="3"/>
      <c r="AA5" s="4"/>
    </row>
    <row r="6" spans="1:27" ht="12.8" customHeight="1" x14ac:dyDescent="0.3">
      <c r="A6" s="379"/>
      <c r="B6" s="379"/>
      <c r="C6" s="404"/>
      <c r="D6" s="404"/>
      <c r="E6" s="404"/>
      <c r="F6" s="8">
        <v>45402</v>
      </c>
      <c r="G6" s="395"/>
      <c r="H6" s="2"/>
      <c r="I6"/>
      <c r="J6"/>
      <c r="K6"/>
      <c r="L6"/>
      <c r="T6" s="3"/>
      <c r="AA6" s="4"/>
    </row>
    <row r="7" spans="1:27" ht="15.75" customHeight="1" thickBot="1" x14ac:dyDescent="0.35">
      <c r="A7" s="9"/>
      <c r="B7" s="9"/>
      <c r="C7" s="9"/>
      <c r="D7" s="9"/>
      <c r="E7" s="9"/>
      <c r="F7" s="9"/>
      <c r="G7" s="10"/>
      <c r="H7" s="10"/>
      <c r="I7"/>
      <c r="J7"/>
      <c r="K7"/>
      <c r="L7"/>
      <c r="T7" s="3"/>
      <c r="AA7" s="4"/>
    </row>
    <row r="8" spans="1:27" ht="15.05" x14ac:dyDescent="0.3">
      <c r="A8" s="384" t="s">
        <v>633</v>
      </c>
      <c r="B8" s="385"/>
      <c r="C8" s="385"/>
      <c r="D8" s="385"/>
      <c r="E8" s="385"/>
      <c r="F8" s="385"/>
      <c r="G8" s="386"/>
      <c r="H8" s="11"/>
      <c r="I8"/>
      <c r="J8"/>
      <c r="K8"/>
      <c r="L8"/>
      <c r="T8" s="3"/>
      <c r="AA8" s="4"/>
    </row>
    <row r="9" spans="1:27" ht="15.75" thickBot="1" x14ac:dyDescent="0.35">
      <c r="A9" s="387"/>
      <c r="B9" s="388"/>
      <c r="C9" s="388"/>
      <c r="D9" s="388"/>
      <c r="E9" s="388"/>
      <c r="F9" s="388"/>
      <c r="G9" s="389"/>
      <c r="H9" s="11"/>
      <c r="I9"/>
      <c r="J9"/>
      <c r="K9"/>
      <c r="L9"/>
      <c r="T9" s="3"/>
      <c r="AA9" s="4"/>
    </row>
    <row r="10" spans="1:27" ht="15.75" customHeight="1" thickBot="1" x14ac:dyDescent="0.35">
      <c r="A10" s="9"/>
      <c r="B10" s="9"/>
      <c r="C10" s="9"/>
      <c r="D10" s="9"/>
      <c r="E10" s="9"/>
      <c r="F10" s="9"/>
      <c r="G10" s="2"/>
      <c r="H10" s="2"/>
      <c r="I10"/>
      <c r="J10"/>
      <c r="K10" s="12"/>
      <c r="L10" s="13"/>
      <c r="T10" s="3"/>
      <c r="AA10" s="4"/>
    </row>
    <row r="11" spans="1:27" ht="15.75" thickBot="1" x14ac:dyDescent="0.35">
      <c r="A11" s="390" t="s">
        <v>11</v>
      </c>
      <c r="B11" s="391"/>
      <c r="C11" s="391"/>
      <c r="D11" s="391"/>
      <c r="E11" s="391"/>
      <c r="F11" s="391"/>
      <c r="G11" s="392"/>
      <c r="H11" s="2"/>
      <c r="I11"/>
      <c r="J11" s="14"/>
      <c r="K11" s="15"/>
      <c r="L11" s="13"/>
      <c r="T11" s="3"/>
      <c r="AA11" s="4"/>
    </row>
    <row r="12" spans="1:27" ht="13.1" customHeight="1" x14ac:dyDescent="0.3">
      <c r="A12" s="9"/>
      <c r="B12" s="9"/>
      <c r="C12" s="9"/>
      <c r="D12" s="9"/>
      <c r="E12" s="9"/>
      <c r="F12" s="9"/>
      <c r="G12" s="2"/>
      <c r="H12" s="2"/>
      <c r="I12" s="12"/>
      <c r="J12" s="14"/>
      <c r="K12" s="16"/>
      <c r="L12" s="17"/>
    </row>
    <row r="13" spans="1:27" ht="13.1" customHeight="1" x14ac:dyDescent="0.3">
      <c r="A13" s="18" t="s">
        <v>12</v>
      </c>
      <c r="B13" s="393" t="s">
        <v>13</v>
      </c>
      <c r="C13" s="394"/>
      <c r="D13" s="18" t="s">
        <v>14</v>
      </c>
      <c r="E13" s="18" t="s">
        <v>15</v>
      </c>
      <c r="F13" s="19" t="s">
        <v>16</v>
      </c>
      <c r="G13" s="20" t="s">
        <v>17</v>
      </c>
      <c r="H13" s="21"/>
      <c r="I13" s="22"/>
      <c r="J13" s="14"/>
      <c r="K13" s="16"/>
      <c r="L13" s="17"/>
      <c r="M13" s="23"/>
    </row>
    <row r="14" spans="1:27" s="23" customFormat="1" ht="17.2" customHeight="1" x14ac:dyDescent="0.3">
      <c r="A14" s="24">
        <v>1</v>
      </c>
      <c r="B14" s="376" t="s">
        <v>78</v>
      </c>
      <c r="C14" s="377"/>
      <c r="D14" s="377"/>
      <c r="E14" s="377"/>
      <c r="F14" s="377"/>
      <c r="G14" s="378"/>
      <c r="P14" s="3"/>
      <c r="Q14" s="3"/>
      <c r="R14" s="3"/>
      <c r="S14" s="3"/>
      <c r="T14" s="4"/>
      <c r="U14" s="3"/>
      <c r="V14" s="3"/>
      <c r="W14" s="3"/>
      <c r="X14" s="3"/>
      <c r="Y14" s="3"/>
      <c r="Z14" s="3"/>
      <c r="AA14" s="3"/>
    </row>
    <row r="15" spans="1:27" s="23" customFormat="1" ht="15.05" x14ac:dyDescent="0.3">
      <c r="A15" s="18">
        <v>1.1000000000000001</v>
      </c>
      <c r="B15" s="370" t="s">
        <v>193</v>
      </c>
      <c r="C15" s="370"/>
      <c r="D15" s="27" t="s">
        <v>178</v>
      </c>
      <c r="E15" s="28">
        <f>'MEMORIA CANTIDADES'!I24</f>
        <v>181.654</v>
      </c>
      <c r="F15" s="29">
        <f>APUS!H37</f>
        <v>9225.8799999999992</v>
      </c>
      <c r="G15" s="30">
        <f t="shared" ref="G15:G22" si="0">+ROUND(E15*F15,2)</f>
        <v>1675918.01</v>
      </c>
      <c r="H15" s="25"/>
      <c r="I15" s="294"/>
      <c r="J15" s="294"/>
      <c r="K15" s="294"/>
      <c r="L15" s="295"/>
      <c r="M15" s="9"/>
      <c r="N15" s="9"/>
      <c r="O15" s="9"/>
      <c r="P15" s="3"/>
      <c r="Q15" s="3"/>
      <c r="R15" s="3"/>
      <c r="S15" s="3"/>
      <c r="T15" s="4"/>
      <c r="U15" s="3"/>
      <c r="V15" s="3"/>
      <c r="W15" s="3"/>
      <c r="X15" s="3"/>
      <c r="Y15" s="3"/>
      <c r="Z15" s="3"/>
      <c r="AA15" s="3"/>
    </row>
    <row r="16" spans="1:27" s="331" customFormat="1" ht="33.049999999999997" customHeight="1" x14ac:dyDescent="0.3">
      <c r="A16" s="326">
        <v>1.2</v>
      </c>
      <c r="B16" s="371" t="s">
        <v>367</v>
      </c>
      <c r="C16" s="372"/>
      <c r="D16" s="327" t="s">
        <v>233</v>
      </c>
      <c r="E16" s="28">
        <f>'MEMORIA CANTIDADES'!I637</f>
        <v>52.849999999999994</v>
      </c>
      <c r="F16" s="29">
        <f>APUS!H86</f>
        <v>15300</v>
      </c>
      <c r="G16" s="328">
        <f t="shared" si="0"/>
        <v>808605</v>
      </c>
      <c r="H16" s="329"/>
      <c r="I16" s="333"/>
      <c r="J16" s="333"/>
      <c r="K16" s="333"/>
      <c r="L16" s="295"/>
      <c r="M16" s="9"/>
      <c r="N16" s="9"/>
      <c r="O16" s="9"/>
      <c r="P16" s="3"/>
      <c r="Q16" s="3"/>
      <c r="R16" s="3"/>
      <c r="S16" s="3"/>
      <c r="T16" s="4"/>
      <c r="U16" s="3"/>
      <c r="V16" s="3"/>
      <c r="W16" s="3"/>
      <c r="X16" s="3"/>
      <c r="Y16" s="3"/>
      <c r="Z16" s="3"/>
      <c r="AA16" s="3"/>
    </row>
    <row r="17" spans="1:27" s="331" customFormat="1" ht="15.05" x14ac:dyDescent="0.3">
      <c r="A17" s="326">
        <v>1.3</v>
      </c>
      <c r="B17" s="371" t="s">
        <v>368</v>
      </c>
      <c r="C17" s="372"/>
      <c r="D17" s="327" t="s">
        <v>212</v>
      </c>
      <c r="E17" s="28">
        <f>'MEMORIA CANTIDADES'!I644</f>
        <v>4</v>
      </c>
      <c r="F17" s="29">
        <f>APUS!H136</f>
        <v>12456.25</v>
      </c>
      <c r="G17" s="328">
        <f t="shared" si="0"/>
        <v>49825</v>
      </c>
      <c r="H17" s="329"/>
      <c r="I17" s="333"/>
      <c r="J17" s="333"/>
      <c r="K17" s="333"/>
      <c r="L17" s="295"/>
      <c r="M17" s="9"/>
      <c r="N17" s="9"/>
      <c r="O17" s="9"/>
      <c r="P17" s="3"/>
      <c r="Q17" s="3"/>
      <c r="R17" s="3"/>
      <c r="S17" s="3"/>
      <c r="T17" s="4"/>
      <c r="U17" s="3"/>
      <c r="V17" s="3"/>
      <c r="W17" s="3"/>
      <c r="X17" s="3"/>
      <c r="Y17" s="3"/>
      <c r="Z17" s="3"/>
      <c r="AA17" s="3"/>
    </row>
    <row r="18" spans="1:27" s="331" customFormat="1" ht="15.05" x14ac:dyDescent="0.3">
      <c r="A18" s="326">
        <v>1.4</v>
      </c>
      <c r="B18" s="371" t="s">
        <v>369</v>
      </c>
      <c r="C18" s="372"/>
      <c r="D18" s="327" t="s">
        <v>212</v>
      </c>
      <c r="E18" s="28">
        <f>'MEMORIA CANTIDADES'!I651</f>
        <v>7</v>
      </c>
      <c r="F18" s="29">
        <f>APUS!H186</f>
        <v>25025</v>
      </c>
      <c r="G18" s="328">
        <f t="shared" si="0"/>
        <v>175175</v>
      </c>
      <c r="H18" s="329"/>
      <c r="I18" s="333"/>
      <c r="J18" s="333"/>
      <c r="K18" s="333"/>
      <c r="L18" s="295"/>
      <c r="M18" s="9"/>
      <c r="N18" s="9"/>
      <c r="O18" s="9"/>
      <c r="P18" s="3"/>
      <c r="Q18" s="3"/>
      <c r="R18" s="3"/>
      <c r="S18" s="3"/>
      <c r="T18" s="4"/>
      <c r="U18" s="3"/>
      <c r="V18" s="3"/>
      <c r="W18" s="3"/>
      <c r="X18" s="3"/>
      <c r="Y18" s="3"/>
      <c r="Z18" s="3"/>
      <c r="AA18" s="3"/>
    </row>
    <row r="19" spans="1:27" s="331" customFormat="1" ht="15.05" x14ac:dyDescent="0.3">
      <c r="A19" s="326">
        <v>1.5</v>
      </c>
      <c r="B19" s="373" t="s">
        <v>370</v>
      </c>
      <c r="C19" s="374"/>
      <c r="D19" s="327" t="s">
        <v>178</v>
      </c>
      <c r="E19" s="28">
        <f>'MEMORIA CANTIDADES'!I658</f>
        <v>19.262499999999999</v>
      </c>
      <c r="F19" s="29">
        <f>APUS!H236</f>
        <v>25800</v>
      </c>
      <c r="G19" s="328">
        <f t="shared" si="0"/>
        <v>496972.5</v>
      </c>
      <c r="H19" s="334"/>
      <c r="I19" s="335" t="s">
        <v>191</v>
      </c>
      <c r="J19" s="335"/>
      <c r="K19" s="335" t="s">
        <v>22</v>
      </c>
      <c r="L19" s="263"/>
      <c r="M19" s="336" t="s">
        <v>188</v>
      </c>
      <c r="N19" s="336"/>
      <c r="O19" s="336" t="s">
        <v>192</v>
      </c>
      <c r="P19" s="3"/>
      <c r="Q19" s="3"/>
      <c r="R19" s="3"/>
      <c r="S19" s="3"/>
      <c r="T19" s="4"/>
      <c r="U19" s="3"/>
      <c r="V19" s="3"/>
      <c r="W19" s="3"/>
      <c r="X19" s="3"/>
      <c r="Y19" s="3"/>
      <c r="Z19" s="3"/>
      <c r="AA19" s="3"/>
    </row>
    <row r="20" spans="1:27" s="331" customFormat="1" ht="15.05" x14ac:dyDescent="0.3">
      <c r="A20" s="326">
        <v>1.6</v>
      </c>
      <c r="B20" s="373" t="s">
        <v>469</v>
      </c>
      <c r="C20" s="374"/>
      <c r="D20" s="327" t="s">
        <v>178</v>
      </c>
      <c r="E20" s="28">
        <f>'MEMORIA CANTIDADES'!I665</f>
        <v>25.799999999999997</v>
      </c>
      <c r="F20" s="29">
        <f>APUS!H286</f>
        <v>24300</v>
      </c>
      <c r="G20" s="328">
        <f t="shared" si="0"/>
        <v>626940</v>
      </c>
      <c r="H20" s="337"/>
      <c r="I20" s="338"/>
      <c r="J20" s="338"/>
      <c r="K20" s="338"/>
      <c r="L20" s="298"/>
      <c r="M20" s="339"/>
      <c r="N20" s="339"/>
      <c r="O20" s="339"/>
      <c r="P20" s="3"/>
      <c r="Q20" s="3"/>
      <c r="R20" s="3"/>
      <c r="S20" s="3"/>
      <c r="T20" s="4"/>
      <c r="U20" s="3"/>
      <c r="V20" s="3"/>
      <c r="W20" s="3"/>
      <c r="X20" s="3"/>
      <c r="Y20" s="3"/>
      <c r="Z20" s="3"/>
      <c r="AA20" s="3"/>
    </row>
    <row r="21" spans="1:27" s="331" customFormat="1" ht="15.05" x14ac:dyDescent="0.3">
      <c r="A21" s="18">
        <v>1.7</v>
      </c>
      <c r="B21" s="373" t="s">
        <v>403</v>
      </c>
      <c r="C21" s="374"/>
      <c r="D21" s="327" t="s">
        <v>178</v>
      </c>
      <c r="E21" s="28">
        <f>'MEMORIA CANTIDADES'!I672</f>
        <v>2.7</v>
      </c>
      <c r="F21" s="29">
        <f>APUS!H336</f>
        <v>38300</v>
      </c>
      <c r="G21" s="328">
        <f t="shared" si="0"/>
        <v>103410</v>
      </c>
      <c r="H21" s="337"/>
      <c r="I21" s="338"/>
      <c r="J21" s="338"/>
      <c r="K21" s="338"/>
      <c r="L21" s="298"/>
      <c r="M21" s="339"/>
      <c r="N21" s="339"/>
      <c r="O21" s="339"/>
      <c r="P21" s="3"/>
      <c r="Q21" s="3"/>
      <c r="R21" s="3"/>
      <c r="S21" s="3"/>
      <c r="T21" s="4"/>
      <c r="U21" s="3"/>
      <c r="V21" s="3"/>
      <c r="W21" s="3"/>
      <c r="X21" s="3"/>
      <c r="Y21" s="3"/>
      <c r="Z21" s="3"/>
      <c r="AA21" s="3"/>
    </row>
    <row r="22" spans="1:27" s="331" customFormat="1" ht="15.05" x14ac:dyDescent="0.3">
      <c r="A22" s="326">
        <v>1.8</v>
      </c>
      <c r="B22" s="373" t="s">
        <v>401</v>
      </c>
      <c r="C22" s="374"/>
      <c r="D22" s="327" t="s">
        <v>0</v>
      </c>
      <c r="E22" s="28">
        <f>'MEMORIA CANTIDADES'!I679</f>
        <v>46.952500000000001</v>
      </c>
      <c r="F22" s="29">
        <f>APUS!H386</f>
        <v>34383.339999999997</v>
      </c>
      <c r="G22" s="328">
        <f t="shared" si="0"/>
        <v>1614383.77</v>
      </c>
      <c r="H22" s="337"/>
      <c r="I22" s="338"/>
      <c r="J22" s="338"/>
      <c r="K22" s="338"/>
      <c r="L22" s="298"/>
      <c r="M22" s="339"/>
      <c r="N22" s="339"/>
      <c r="O22" s="339"/>
      <c r="P22" s="3"/>
      <c r="Q22" s="3"/>
      <c r="R22" s="3"/>
      <c r="S22" s="3"/>
      <c r="T22" s="4"/>
      <c r="U22" s="3"/>
      <c r="V22" s="3"/>
      <c r="W22" s="3"/>
      <c r="X22" s="3"/>
      <c r="Y22" s="3"/>
      <c r="Z22" s="3"/>
      <c r="AA22" s="3"/>
    </row>
    <row r="23" spans="1:27" ht="15.05" x14ac:dyDescent="0.3">
      <c r="A23" s="18"/>
      <c r="B23" s="375" t="s">
        <v>18</v>
      </c>
      <c r="C23" s="375"/>
      <c r="D23" s="375"/>
      <c r="E23" s="375"/>
      <c r="F23" s="375"/>
      <c r="G23" s="32">
        <f>ROUND(SUM(G15:G22),2)</f>
        <v>5551229.2800000003</v>
      </c>
      <c r="H23" s="288">
        <v>0.32</v>
      </c>
      <c r="I23" s="289">
        <f>G23*H23</f>
        <v>1776393.3696000001</v>
      </c>
      <c r="J23" s="290">
        <v>0.03</v>
      </c>
      <c r="K23" s="291">
        <f>G23*J23</f>
        <v>166536.87840000002</v>
      </c>
      <c r="L23" s="292">
        <v>0.19</v>
      </c>
      <c r="M23" s="293">
        <f>L23*K23</f>
        <v>31642.006896000003</v>
      </c>
      <c r="N23" s="279"/>
      <c r="O23" s="293">
        <f>I23+M23</f>
        <v>1808035.376496</v>
      </c>
    </row>
    <row r="24" spans="1:27" s="23" customFormat="1" ht="17.2" customHeight="1" x14ac:dyDescent="0.3">
      <c r="A24" s="24">
        <v>2</v>
      </c>
      <c r="B24" s="376" t="s">
        <v>177</v>
      </c>
      <c r="C24" s="377"/>
      <c r="D24" s="377"/>
      <c r="E24" s="377"/>
      <c r="F24" s="377"/>
      <c r="G24" s="378"/>
      <c r="H24" s="25"/>
      <c r="I24" s="12"/>
      <c r="J24" s="15"/>
      <c r="K24" s="12"/>
      <c r="L24" s="26"/>
      <c r="M24" s="3"/>
      <c r="N24" s="3"/>
      <c r="O24" s="3"/>
      <c r="P24" s="3"/>
      <c r="Q24" s="3"/>
      <c r="R24" s="3"/>
      <c r="S24" s="3"/>
      <c r="T24" s="4"/>
      <c r="U24" s="3"/>
      <c r="V24" s="3"/>
      <c r="W24" s="3"/>
      <c r="X24" s="3"/>
      <c r="Y24" s="3"/>
      <c r="Z24" s="3"/>
      <c r="AA24" s="3"/>
    </row>
    <row r="25" spans="1:27" s="23" customFormat="1" ht="15.05" x14ac:dyDescent="0.3">
      <c r="A25" s="18">
        <v>2.1</v>
      </c>
      <c r="B25" s="370" t="s">
        <v>228</v>
      </c>
      <c r="C25" s="370"/>
      <c r="D25" s="27" t="s">
        <v>0</v>
      </c>
      <c r="E25" s="28">
        <f>'MEMORIA CANTIDADES'!I46</f>
        <v>39.7408</v>
      </c>
      <c r="F25" s="29">
        <f>APUS!H438</f>
        <v>60050</v>
      </c>
      <c r="G25" s="30">
        <f t="shared" ref="G25:G26" si="1">+ROUND(E25*F25,2)</f>
        <v>2386435.04</v>
      </c>
      <c r="H25" s="25"/>
      <c r="I25" s="12"/>
      <c r="J25" s="12"/>
      <c r="K25" s="12"/>
      <c r="L25" s="31"/>
      <c r="M25" s="3"/>
      <c r="N25" s="3"/>
      <c r="O25" s="3"/>
      <c r="P25" s="3"/>
      <c r="Q25" s="3"/>
      <c r="R25" s="3"/>
      <c r="S25" s="3"/>
      <c r="T25" s="4"/>
      <c r="U25" s="3"/>
      <c r="V25" s="3"/>
      <c r="W25" s="3"/>
      <c r="X25" s="3"/>
      <c r="Y25" s="3"/>
      <c r="Z25" s="3"/>
      <c r="AA25" s="3"/>
    </row>
    <row r="26" spans="1:27" s="23" customFormat="1" ht="15.05" customHeight="1" x14ac:dyDescent="0.3">
      <c r="A26" s="18">
        <v>2.2000000000000002</v>
      </c>
      <c r="B26" s="370" t="s">
        <v>196</v>
      </c>
      <c r="C26" s="370"/>
      <c r="D26" s="27" t="s">
        <v>0</v>
      </c>
      <c r="E26" s="28">
        <f>'MEMORIA CANTIDADES'!I57</f>
        <v>64.110199999999992</v>
      </c>
      <c r="F26" s="29">
        <f>APUS!H491</f>
        <v>110130</v>
      </c>
      <c r="G26" s="30">
        <f t="shared" si="1"/>
        <v>7060456.3300000001</v>
      </c>
      <c r="H26" s="25"/>
      <c r="I26" s="12"/>
      <c r="J26" s="12"/>
      <c r="K26" s="12"/>
      <c r="L26" s="31"/>
      <c r="M26" s="3"/>
      <c r="N26" s="3"/>
      <c r="O26" s="3"/>
      <c r="P26" s="3"/>
      <c r="Q26" s="3"/>
      <c r="R26" s="3"/>
      <c r="S26" s="3"/>
      <c r="T26" s="4"/>
      <c r="U26" s="3"/>
      <c r="V26" s="3"/>
      <c r="W26" s="3"/>
      <c r="X26" s="3"/>
      <c r="Y26" s="3"/>
      <c r="Z26" s="3"/>
      <c r="AA26" s="3"/>
    </row>
    <row r="27" spans="1:27" ht="15.05" x14ac:dyDescent="0.3">
      <c r="A27" s="18"/>
      <c r="B27" s="375" t="s">
        <v>18</v>
      </c>
      <c r="C27" s="375"/>
      <c r="D27" s="375"/>
      <c r="E27" s="375"/>
      <c r="F27" s="375"/>
      <c r="G27" s="32">
        <f>ROUND(SUM(G25:G26),2)</f>
        <v>9446891.3699999992</v>
      </c>
      <c r="H27" s="264">
        <v>0.32</v>
      </c>
      <c r="I27" s="265">
        <f>G27*H27</f>
        <v>3023005.2383999997</v>
      </c>
      <c r="J27" s="266">
        <v>0.03</v>
      </c>
      <c r="K27" s="267">
        <f>G27*J27</f>
        <v>283406.74109999998</v>
      </c>
      <c r="L27" s="268">
        <v>0.19</v>
      </c>
      <c r="M27" s="269">
        <f>L27*K27</f>
        <v>53847.280808999996</v>
      </c>
      <c r="N27" s="1"/>
      <c r="O27" s="269">
        <f>I27+M27</f>
        <v>3076852.5192089998</v>
      </c>
    </row>
    <row r="28" spans="1:27" s="23" customFormat="1" ht="17.2" customHeight="1" x14ac:dyDescent="0.3">
      <c r="A28" s="24">
        <v>3</v>
      </c>
      <c r="B28" s="376" t="s">
        <v>194</v>
      </c>
      <c r="C28" s="377"/>
      <c r="D28" s="377"/>
      <c r="E28" s="377"/>
      <c r="F28" s="377"/>
      <c r="G28" s="378"/>
      <c r="H28" s="25"/>
      <c r="I28" s="12"/>
      <c r="J28" s="15"/>
      <c r="K28" s="12"/>
      <c r="L28" s="26"/>
      <c r="M28" s="3"/>
      <c r="N28" s="3"/>
      <c r="O28" s="3"/>
      <c r="P28" s="3"/>
      <c r="Q28" s="3"/>
      <c r="R28" s="3"/>
      <c r="S28" s="3"/>
      <c r="T28" s="4"/>
      <c r="U28" s="3"/>
      <c r="V28" s="3"/>
      <c r="W28" s="3"/>
      <c r="X28" s="3"/>
      <c r="Y28" s="3"/>
      <c r="Z28" s="3"/>
      <c r="AA28" s="3"/>
    </row>
    <row r="29" spans="1:27" s="23" customFormat="1" ht="15.05" x14ac:dyDescent="0.3">
      <c r="A29" s="18">
        <v>3.1</v>
      </c>
      <c r="B29" s="370" t="s">
        <v>229</v>
      </c>
      <c r="C29" s="370"/>
      <c r="D29" s="27" t="s">
        <v>233</v>
      </c>
      <c r="E29" s="28">
        <f>'MEMORIA CANTIDADES'!I79</f>
        <v>106.53999999999999</v>
      </c>
      <c r="F29" s="29">
        <f>APUS!H543</f>
        <v>111153.5</v>
      </c>
      <c r="G29" s="30">
        <f t="shared" ref="G29" si="2">+ROUND(E29*F29,2)</f>
        <v>11842293.890000001</v>
      </c>
      <c r="H29" s="25"/>
      <c r="I29" s="12"/>
      <c r="J29" s="12"/>
      <c r="K29" s="12"/>
      <c r="L29" s="31"/>
      <c r="M29" s="3"/>
      <c r="N29" s="3"/>
      <c r="O29" s="3"/>
      <c r="P29" s="3"/>
      <c r="Q29" s="3"/>
      <c r="R29" s="3"/>
      <c r="S29" s="3"/>
      <c r="T29" s="4"/>
      <c r="U29" s="3"/>
      <c r="V29" s="3"/>
      <c r="W29" s="3"/>
      <c r="X29" s="3"/>
      <c r="Y29" s="3"/>
      <c r="Z29" s="3"/>
      <c r="AA29" s="3"/>
    </row>
    <row r="30" spans="1:27" s="23" customFormat="1" ht="15.05" x14ac:dyDescent="0.3">
      <c r="A30" s="18">
        <v>3.2</v>
      </c>
      <c r="B30" s="370" t="s">
        <v>230</v>
      </c>
      <c r="C30" s="370"/>
      <c r="D30" s="27" t="s">
        <v>233</v>
      </c>
      <c r="E30" s="28">
        <f>'MEMORIA CANTIDADES'!I99</f>
        <v>108.03999999999999</v>
      </c>
      <c r="F30" s="29">
        <f>APUS!H596</f>
        <v>75983.3</v>
      </c>
      <c r="G30" s="30">
        <f t="shared" ref="G30:G33" si="3">+ROUND(E30*F30,2)</f>
        <v>8209235.7300000004</v>
      </c>
      <c r="H30" s="25"/>
      <c r="I30" s="12"/>
      <c r="J30" s="12"/>
      <c r="K30" s="12"/>
      <c r="L30" s="31"/>
      <c r="M30" s="3"/>
      <c r="N30" s="3"/>
      <c r="O30" s="3"/>
      <c r="P30" s="3"/>
      <c r="Q30" s="3"/>
      <c r="R30" s="3"/>
      <c r="S30" s="3"/>
      <c r="T30" s="4"/>
      <c r="U30" s="3"/>
      <c r="V30" s="3"/>
      <c r="W30" s="3"/>
      <c r="X30" s="3"/>
      <c r="Y30" s="3"/>
      <c r="Z30" s="3"/>
      <c r="AA30" s="3"/>
    </row>
    <row r="31" spans="1:27" s="23" customFormat="1" ht="15.05" x14ac:dyDescent="0.3">
      <c r="A31" s="18">
        <v>3.3</v>
      </c>
      <c r="B31" s="370" t="s">
        <v>231</v>
      </c>
      <c r="C31" s="370"/>
      <c r="D31" s="27" t="s">
        <v>233</v>
      </c>
      <c r="E31" s="28">
        <f>'MEMORIA CANTIDADES'!I114</f>
        <v>152.04999999999998</v>
      </c>
      <c r="F31" s="29">
        <f>APUS!H649</f>
        <v>75248.149999999994</v>
      </c>
      <c r="G31" s="30">
        <f t="shared" si="3"/>
        <v>11441481.210000001</v>
      </c>
      <c r="H31" s="25"/>
      <c r="I31" s="12"/>
      <c r="J31" s="12"/>
      <c r="K31" s="12"/>
      <c r="L31" s="31"/>
      <c r="M31" s="3"/>
      <c r="N31" s="3"/>
      <c r="O31" s="3"/>
      <c r="P31" s="3"/>
      <c r="Q31" s="3"/>
      <c r="R31" s="3"/>
      <c r="S31" s="3"/>
      <c r="T31" s="4"/>
      <c r="U31" s="3"/>
      <c r="V31" s="3"/>
      <c r="W31" s="3"/>
      <c r="X31" s="3"/>
      <c r="Y31" s="3"/>
      <c r="Z31" s="3"/>
      <c r="AA31" s="3"/>
    </row>
    <row r="32" spans="1:27" s="23" customFormat="1" ht="15.05" x14ac:dyDescent="0.3">
      <c r="A32" s="18">
        <v>3.4</v>
      </c>
      <c r="B32" s="370" t="s">
        <v>232</v>
      </c>
      <c r="C32" s="370"/>
      <c r="D32" s="27" t="s">
        <v>197</v>
      </c>
      <c r="E32" s="28">
        <f>'MEMORIA CANTIDADES'!I181</f>
        <v>2425.3614600000014</v>
      </c>
      <c r="F32" s="29">
        <f>APUS!H702</f>
        <v>12036.66</v>
      </c>
      <c r="G32" s="30">
        <f t="shared" si="3"/>
        <v>29193251.27</v>
      </c>
      <c r="H32" s="25"/>
      <c r="I32" s="12"/>
      <c r="J32" s="12"/>
      <c r="K32" s="12"/>
      <c r="L32" s="31"/>
      <c r="M32" s="3"/>
      <c r="N32" s="3"/>
      <c r="O32" s="3"/>
      <c r="P32" s="3"/>
      <c r="Q32" s="3"/>
      <c r="R32" s="3"/>
      <c r="S32" s="3"/>
      <c r="T32" s="4"/>
      <c r="U32" s="3"/>
      <c r="V32" s="3"/>
      <c r="W32" s="3"/>
      <c r="X32" s="3"/>
      <c r="Y32" s="3"/>
      <c r="Z32" s="3"/>
      <c r="AA32" s="3"/>
    </row>
    <row r="33" spans="1:27" s="23" customFormat="1" ht="15.05" x14ac:dyDescent="0.3">
      <c r="A33" s="18">
        <v>3.5</v>
      </c>
      <c r="B33" s="370" t="s">
        <v>269</v>
      </c>
      <c r="C33" s="370"/>
      <c r="D33" s="27" t="s">
        <v>0</v>
      </c>
      <c r="E33" s="28">
        <f>'MEMORIA CANTIDADES'!I202</f>
        <v>19.8704</v>
      </c>
      <c r="F33" s="29">
        <f>APUS!H755</f>
        <v>445520</v>
      </c>
      <c r="G33" s="30">
        <f t="shared" si="3"/>
        <v>8852660.6099999994</v>
      </c>
      <c r="H33" s="25"/>
      <c r="I33" s="12"/>
      <c r="J33" s="12"/>
      <c r="K33" s="12"/>
      <c r="L33" s="31"/>
      <c r="M33" s="3"/>
      <c r="N33" s="3"/>
      <c r="O33" s="3"/>
      <c r="P33" s="3"/>
      <c r="Q33" s="3"/>
      <c r="R33" s="3"/>
      <c r="S33" s="3"/>
      <c r="T33" s="4"/>
      <c r="U33" s="3"/>
      <c r="V33" s="3"/>
      <c r="W33" s="3"/>
      <c r="X33" s="3"/>
      <c r="Y33" s="3"/>
      <c r="Z33" s="3"/>
      <c r="AA33" s="3"/>
    </row>
    <row r="34" spans="1:27" s="23" customFormat="1" ht="15.05" x14ac:dyDescent="0.3">
      <c r="A34" s="18">
        <v>3.6</v>
      </c>
      <c r="B34" s="370" t="s">
        <v>329</v>
      </c>
      <c r="C34" s="370"/>
      <c r="D34" s="27" t="s">
        <v>178</v>
      </c>
      <c r="E34" s="28">
        <f>'MEMORIA CANTIDADES'!I213</f>
        <v>196.59700000000001</v>
      </c>
      <c r="F34" s="29">
        <f>APUS!H808</f>
        <v>97613.34</v>
      </c>
      <c r="G34" s="30">
        <f t="shared" ref="G34" si="4">+ROUND(E34*F34,2)</f>
        <v>19190489.800000001</v>
      </c>
      <c r="H34" s="25"/>
      <c r="I34" s="12"/>
      <c r="J34" s="12"/>
      <c r="K34" s="12"/>
      <c r="L34" s="31"/>
      <c r="M34" s="3"/>
      <c r="N34" s="3"/>
      <c r="O34" s="3"/>
      <c r="P34" s="3"/>
      <c r="Q34" s="3"/>
      <c r="R34" s="3"/>
      <c r="S34" s="3"/>
      <c r="T34" s="4"/>
      <c r="U34" s="3"/>
      <c r="V34" s="3"/>
      <c r="W34" s="3"/>
      <c r="X34" s="3"/>
      <c r="Y34" s="3"/>
      <c r="Z34" s="3"/>
      <c r="AA34" s="3"/>
    </row>
    <row r="35" spans="1:27" s="23" customFormat="1" ht="15.05" x14ac:dyDescent="0.3">
      <c r="A35" s="18"/>
      <c r="B35" s="375" t="s">
        <v>18</v>
      </c>
      <c r="C35" s="375"/>
      <c r="D35" s="375"/>
      <c r="E35" s="375"/>
      <c r="F35" s="375"/>
      <c r="G35" s="32">
        <f>ROUND(SUM(G29:G34),2)</f>
        <v>88729412.510000005</v>
      </c>
      <c r="H35" s="264">
        <v>0.32</v>
      </c>
      <c r="I35" s="265">
        <f>G35*H35</f>
        <v>28393412.003200002</v>
      </c>
      <c r="J35" s="266">
        <v>0.03</v>
      </c>
      <c r="K35" s="267">
        <f>G35*J35</f>
        <v>2661882.3753</v>
      </c>
      <c r="L35" s="268">
        <v>0.19</v>
      </c>
      <c r="M35" s="269">
        <f>L35*K35</f>
        <v>505757.65130700002</v>
      </c>
      <c r="N35" s="1"/>
      <c r="O35" s="269">
        <f>I35+M35</f>
        <v>28899169.654507004</v>
      </c>
      <c r="P35" s="3"/>
      <c r="Q35" s="3"/>
      <c r="R35" s="3"/>
      <c r="S35" s="3"/>
      <c r="T35" s="4"/>
      <c r="U35" s="3"/>
      <c r="V35" s="3"/>
      <c r="W35" s="3"/>
      <c r="X35" s="3"/>
      <c r="Y35" s="3"/>
      <c r="Z35" s="3"/>
      <c r="AA35" s="3"/>
    </row>
    <row r="36" spans="1:27" s="23" customFormat="1" ht="17.2" customHeight="1" x14ac:dyDescent="0.3">
      <c r="A36" s="24">
        <v>4</v>
      </c>
      <c r="B36" s="376" t="s">
        <v>303</v>
      </c>
      <c r="C36" s="377"/>
      <c r="D36" s="377"/>
      <c r="E36" s="377"/>
      <c r="F36" s="377"/>
      <c r="G36" s="378"/>
      <c r="H36" s="25"/>
      <c r="I36" s="12"/>
      <c r="J36" s="15"/>
      <c r="K36" s="12"/>
      <c r="L36" s="26"/>
      <c r="M36" s="3"/>
      <c r="N36" s="3"/>
      <c r="O36" s="3"/>
      <c r="P36" s="3"/>
      <c r="Q36" s="3"/>
      <c r="R36" s="3"/>
      <c r="S36" s="3"/>
      <c r="T36" s="4"/>
      <c r="U36" s="3"/>
      <c r="V36" s="3"/>
      <c r="W36" s="3"/>
      <c r="X36" s="3"/>
      <c r="Y36" s="3"/>
      <c r="Z36" s="3"/>
      <c r="AA36" s="3"/>
    </row>
    <row r="37" spans="1:27" s="23" customFormat="1" ht="15.05" x14ac:dyDescent="0.3">
      <c r="A37" s="18">
        <v>4.0999999999999996</v>
      </c>
      <c r="B37" s="370" t="s">
        <v>240</v>
      </c>
      <c r="C37" s="370"/>
      <c r="D37" s="27" t="s">
        <v>233</v>
      </c>
      <c r="E37" s="28">
        <f>'MEMORIA CANTIDADES'!I225</f>
        <v>60.400000000000006</v>
      </c>
      <c r="F37" s="29">
        <f>APUS!H861</f>
        <v>14335</v>
      </c>
      <c r="G37" s="30">
        <f>+ROUND(E37*F37,2)</f>
        <v>865834</v>
      </c>
      <c r="H37" s="25"/>
      <c r="I37" s="12"/>
      <c r="J37" s="12"/>
      <c r="K37" s="12"/>
      <c r="L37" s="31"/>
      <c r="M37" s="3"/>
      <c r="N37" s="3"/>
      <c r="O37" s="3"/>
      <c r="P37" s="3"/>
      <c r="Q37" s="3"/>
      <c r="R37" s="3"/>
      <c r="S37" s="3"/>
      <c r="T37" s="4"/>
      <c r="U37" s="3"/>
      <c r="V37" s="3"/>
      <c r="W37" s="3"/>
      <c r="X37" s="3"/>
      <c r="Y37" s="3"/>
      <c r="Z37" s="3"/>
      <c r="AA37" s="3"/>
    </row>
    <row r="38" spans="1:27" s="23" customFormat="1" ht="15.05" x14ac:dyDescent="0.3">
      <c r="A38" s="18">
        <v>4.2</v>
      </c>
      <c r="B38" s="370" t="s">
        <v>241</v>
      </c>
      <c r="C38" s="370"/>
      <c r="D38" s="27" t="s">
        <v>233</v>
      </c>
      <c r="E38" s="28">
        <f>'MEMORIA CANTIDADES'!I237</f>
        <v>14.600000000000001</v>
      </c>
      <c r="F38" s="29">
        <f>APUS!H914</f>
        <v>12335</v>
      </c>
      <c r="G38" s="30">
        <f t="shared" ref="G38:G41" si="5">+ROUND(E38*F38,2)</f>
        <v>180091</v>
      </c>
      <c r="H38" s="25"/>
      <c r="I38" s="12"/>
      <c r="J38" s="12"/>
      <c r="K38" s="12"/>
      <c r="L38" s="31"/>
      <c r="M38" s="3"/>
      <c r="N38" s="3"/>
      <c r="O38" s="3"/>
      <c r="P38" s="3"/>
      <c r="Q38" s="3"/>
      <c r="R38" s="3"/>
      <c r="S38" s="3"/>
      <c r="T38" s="4"/>
      <c r="U38" s="3"/>
      <c r="V38" s="3"/>
      <c r="W38" s="3"/>
      <c r="X38" s="3"/>
      <c r="Y38" s="3"/>
      <c r="Z38" s="3"/>
      <c r="AA38" s="3"/>
    </row>
    <row r="39" spans="1:27" s="23" customFormat="1" ht="15.05" x14ac:dyDescent="0.3">
      <c r="A39" s="18">
        <v>4.3</v>
      </c>
      <c r="B39" s="370" t="s">
        <v>243</v>
      </c>
      <c r="C39" s="370"/>
      <c r="D39" s="27" t="s">
        <v>233</v>
      </c>
      <c r="E39" s="28">
        <f>'MEMORIA CANTIDADES'!I249+'MEMORIA CANTIDADES'!I688</f>
        <v>80.94</v>
      </c>
      <c r="F39" s="29">
        <f>APUS!H967</f>
        <v>54870</v>
      </c>
      <c r="G39" s="30">
        <f t="shared" si="5"/>
        <v>4441177.8</v>
      </c>
      <c r="H39" s="25"/>
      <c r="I39" s="12"/>
      <c r="J39" s="12"/>
      <c r="K39" s="12"/>
      <c r="L39" s="31"/>
      <c r="M39" s="3"/>
      <c r="N39" s="3"/>
      <c r="O39" s="3"/>
      <c r="P39" s="3"/>
      <c r="Q39" s="3"/>
      <c r="R39" s="3"/>
      <c r="S39" s="3"/>
      <c r="T39" s="4"/>
      <c r="U39" s="3"/>
      <c r="V39" s="3"/>
      <c r="W39" s="3"/>
      <c r="X39" s="3"/>
      <c r="Y39" s="3"/>
      <c r="Z39" s="3"/>
      <c r="AA39" s="3"/>
    </row>
    <row r="40" spans="1:27" s="23" customFormat="1" ht="15.05" x14ac:dyDescent="0.3">
      <c r="A40" s="18">
        <v>4.4000000000000004</v>
      </c>
      <c r="B40" s="370" t="s">
        <v>242</v>
      </c>
      <c r="C40" s="370"/>
      <c r="D40" s="27" t="s">
        <v>233</v>
      </c>
      <c r="E40" s="28">
        <f>'MEMORIA CANTIDADES'!I261+'MEMORIA CANTIDADES'!I695</f>
        <v>48.64</v>
      </c>
      <c r="F40" s="29">
        <f>APUS!H1020</f>
        <v>36633.339999999997</v>
      </c>
      <c r="G40" s="30">
        <f t="shared" si="5"/>
        <v>1781845.66</v>
      </c>
      <c r="H40" s="25"/>
      <c r="I40" s="12"/>
      <c r="J40" s="12"/>
      <c r="K40" s="12"/>
      <c r="L40" s="31"/>
      <c r="M40" s="3"/>
      <c r="N40" s="3"/>
      <c r="O40" s="3"/>
      <c r="P40" s="3"/>
      <c r="Q40" s="3"/>
      <c r="R40" s="3"/>
      <c r="S40" s="3"/>
      <c r="T40" s="4"/>
      <c r="U40" s="3"/>
      <c r="V40" s="3"/>
      <c r="W40" s="3"/>
      <c r="X40" s="3"/>
      <c r="Y40" s="3"/>
      <c r="Z40" s="3"/>
      <c r="AA40" s="3"/>
    </row>
    <row r="41" spans="1:27" s="23" customFormat="1" ht="15.05" x14ac:dyDescent="0.3">
      <c r="A41" s="18">
        <v>4.5</v>
      </c>
      <c r="B41" s="370" t="s">
        <v>235</v>
      </c>
      <c r="C41" s="370"/>
      <c r="D41" s="27" t="s">
        <v>212</v>
      </c>
      <c r="E41" s="28">
        <f>'MEMORIA CANTIDADES'!I273</f>
        <v>3</v>
      </c>
      <c r="F41" s="29">
        <f>APUS!H1074</f>
        <v>513462.5</v>
      </c>
      <c r="G41" s="30">
        <f t="shared" si="5"/>
        <v>1540387.5</v>
      </c>
      <c r="H41" s="25"/>
      <c r="I41" s="12"/>
      <c r="J41" s="12"/>
      <c r="K41" s="12"/>
      <c r="L41" s="31"/>
      <c r="M41" s="3"/>
      <c r="N41" s="3"/>
      <c r="O41" s="3"/>
      <c r="P41" s="3"/>
      <c r="Q41" s="3"/>
      <c r="R41" s="3"/>
      <c r="S41" s="3"/>
      <c r="T41" s="4"/>
      <c r="U41" s="3"/>
      <c r="V41" s="3"/>
      <c r="W41" s="3"/>
      <c r="X41" s="3"/>
      <c r="Y41" s="3"/>
      <c r="Z41" s="3"/>
      <c r="AA41" s="3"/>
    </row>
    <row r="42" spans="1:27" s="23" customFormat="1" ht="15.05" x14ac:dyDescent="0.3">
      <c r="A42" s="18">
        <v>4.5999999999999996</v>
      </c>
      <c r="B42" s="370" t="s">
        <v>282</v>
      </c>
      <c r="C42" s="370"/>
      <c r="D42" s="27" t="s">
        <v>212</v>
      </c>
      <c r="E42" s="28">
        <f>'MEMORIA CANTIDADES'!I285+'MEMORIA CANTIDADES'!I702</f>
        <v>15</v>
      </c>
      <c r="F42" s="29">
        <f>APUS!H1128</f>
        <v>75066.66</v>
      </c>
      <c r="G42" s="30">
        <f t="shared" ref="G42:G49" si="6">+ROUND(E42*F42,2)</f>
        <v>1125999.8999999999</v>
      </c>
      <c r="H42" s="25"/>
      <c r="I42" s="12"/>
      <c r="J42" s="12"/>
      <c r="K42" s="12"/>
      <c r="L42" s="31"/>
      <c r="M42" s="3"/>
      <c r="N42" s="3"/>
      <c r="O42" s="3"/>
      <c r="P42" s="3"/>
      <c r="Q42" s="3"/>
      <c r="R42" s="3"/>
      <c r="S42" s="3"/>
      <c r="T42" s="4"/>
      <c r="U42" s="3"/>
      <c r="V42" s="3"/>
      <c r="W42" s="3"/>
      <c r="X42" s="3"/>
      <c r="Y42" s="3"/>
      <c r="Z42" s="3"/>
      <c r="AA42" s="3"/>
    </row>
    <row r="43" spans="1:27" s="23" customFormat="1" ht="15.05" x14ac:dyDescent="0.3">
      <c r="A43" s="18">
        <v>4.7</v>
      </c>
      <c r="B43" s="370" t="s">
        <v>283</v>
      </c>
      <c r="C43" s="370"/>
      <c r="D43" s="27" t="s">
        <v>212</v>
      </c>
      <c r="E43" s="28">
        <f>'MEMORIA CANTIDADES'!I297+'MEMORIA CANTIDADES'!I709</f>
        <v>7</v>
      </c>
      <c r="F43" s="29">
        <f>APUS!H1182</f>
        <v>153900</v>
      </c>
      <c r="G43" s="30">
        <f t="shared" si="6"/>
        <v>1077300</v>
      </c>
      <c r="H43" s="25"/>
      <c r="I43" s="12"/>
      <c r="J43" s="12"/>
      <c r="K43" s="12"/>
      <c r="L43" s="31"/>
      <c r="M43" s="3"/>
      <c r="N43" s="3"/>
      <c r="O43" s="3"/>
      <c r="P43" s="3"/>
      <c r="Q43" s="3"/>
      <c r="R43" s="3"/>
      <c r="S43" s="3"/>
      <c r="T43" s="4"/>
      <c r="U43" s="3"/>
      <c r="V43" s="3"/>
      <c r="W43" s="3"/>
      <c r="X43" s="3"/>
      <c r="Y43" s="3"/>
      <c r="Z43" s="3"/>
      <c r="AA43" s="3"/>
    </row>
    <row r="44" spans="1:27" s="23" customFormat="1" ht="29.3" customHeight="1" x14ac:dyDescent="0.3">
      <c r="A44" s="18">
        <v>4.8</v>
      </c>
      <c r="B44" s="371" t="s">
        <v>427</v>
      </c>
      <c r="C44" s="372"/>
      <c r="D44" s="27" t="s">
        <v>212</v>
      </c>
      <c r="E44" s="28">
        <f>'MEMORIA CANTIDADES'!I309</f>
        <v>4</v>
      </c>
      <c r="F44" s="29">
        <f>APUS!H1237</f>
        <v>239825</v>
      </c>
      <c r="G44" s="30">
        <f t="shared" si="6"/>
        <v>959300</v>
      </c>
      <c r="H44" s="25"/>
      <c r="I44" s="12"/>
      <c r="J44" s="12"/>
      <c r="K44" s="12"/>
      <c r="L44" s="31"/>
      <c r="M44" s="3"/>
      <c r="N44" s="3"/>
      <c r="O44" s="3"/>
      <c r="P44" s="3"/>
      <c r="Q44" s="3"/>
      <c r="R44" s="3"/>
      <c r="S44" s="3"/>
      <c r="T44" s="4"/>
      <c r="U44" s="3"/>
      <c r="V44" s="3"/>
      <c r="W44" s="3"/>
      <c r="X44" s="3"/>
      <c r="Y44" s="3"/>
      <c r="Z44" s="3"/>
      <c r="AA44" s="3"/>
    </row>
    <row r="45" spans="1:27" s="23" customFormat="1" ht="15.05" x14ac:dyDescent="0.3">
      <c r="A45" s="18">
        <v>4.9000000000000004</v>
      </c>
      <c r="B45" s="371" t="s">
        <v>423</v>
      </c>
      <c r="C45" s="372"/>
      <c r="D45" s="27" t="s">
        <v>212</v>
      </c>
      <c r="E45" s="28">
        <f>'MEMORIA CANTIDADES'!I309</f>
        <v>4</v>
      </c>
      <c r="F45" s="29">
        <f>APUS!H1289</f>
        <v>383616.66</v>
      </c>
      <c r="G45" s="30">
        <f t="shared" si="6"/>
        <v>1534466.64</v>
      </c>
      <c r="H45" s="25"/>
      <c r="I45" s="12"/>
      <c r="J45" s="12"/>
      <c r="K45" s="12"/>
      <c r="L45" s="31"/>
      <c r="M45" s="3"/>
      <c r="N45" s="3"/>
      <c r="O45" s="3"/>
      <c r="P45" s="3"/>
      <c r="Q45" s="3"/>
      <c r="R45" s="3"/>
      <c r="S45" s="3"/>
      <c r="T45" s="4"/>
      <c r="U45" s="3"/>
      <c r="V45" s="3"/>
      <c r="W45" s="3"/>
      <c r="X45" s="3"/>
      <c r="Y45" s="3"/>
      <c r="Z45" s="3"/>
      <c r="AA45" s="3"/>
    </row>
    <row r="46" spans="1:27" s="331" customFormat="1" ht="15.05" x14ac:dyDescent="0.3">
      <c r="A46" s="332">
        <v>4.0999999999999996</v>
      </c>
      <c r="B46" s="373" t="s">
        <v>479</v>
      </c>
      <c r="C46" s="374"/>
      <c r="D46" s="327" t="s">
        <v>212</v>
      </c>
      <c r="E46" s="28">
        <f>'MEMORIA CANTIDADES'!I333+'MEMORIA CANTIDADES'!I716</f>
        <v>7</v>
      </c>
      <c r="F46" s="29">
        <f>APUS!H1341</f>
        <v>311253.34000000003</v>
      </c>
      <c r="G46" s="328">
        <f t="shared" si="6"/>
        <v>2178773.38</v>
      </c>
      <c r="H46" s="329"/>
      <c r="K46" s="330"/>
      <c r="L46" s="31"/>
      <c r="M46" s="3"/>
      <c r="N46" s="3"/>
      <c r="O46" s="3"/>
      <c r="P46" s="3"/>
      <c r="Q46" s="3"/>
      <c r="R46" s="3"/>
      <c r="S46" s="3"/>
      <c r="T46" s="4"/>
      <c r="U46" s="3"/>
      <c r="V46" s="3"/>
      <c r="W46" s="3"/>
      <c r="X46" s="3"/>
      <c r="Y46" s="3"/>
      <c r="Z46" s="3"/>
      <c r="AA46" s="3"/>
    </row>
    <row r="47" spans="1:27" s="331" customFormat="1" ht="31.6" customHeight="1" x14ac:dyDescent="0.3">
      <c r="A47" s="332">
        <v>4.1100000000000003</v>
      </c>
      <c r="B47" s="371" t="s">
        <v>438</v>
      </c>
      <c r="C47" s="372"/>
      <c r="D47" s="327" t="s">
        <v>212</v>
      </c>
      <c r="E47" s="28">
        <f>+'MEMORIA CANTIDADES'!I723</f>
        <v>3</v>
      </c>
      <c r="F47" s="29">
        <f>APUS!H1393</f>
        <v>1000208.34</v>
      </c>
      <c r="G47" s="328">
        <f t="shared" si="6"/>
        <v>3000625.02</v>
      </c>
      <c r="H47" s="329"/>
      <c r="I47" s="330"/>
      <c r="J47" s="330"/>
      <c r="K47" s="330"/>
      <c r="L47" s="31"/>
      <c r="M47" s="3"/>
      <c r="N47" s="3"/>
      <c r="O47" s="3"/>
      <c r="P47" s="3"/>
      <c r="Q47" s="3"/>
      <c r="R47" s="3"/>
      <c r="S47" s="3"/>
      <c r="T47" s="4"/>
      <c r="U47" s="3"/>
      <c r="V47" s="3"/>
      <c r="W47" s="3"/>
      <c r="X47" s="3"/>
      <c r="Y47" s="3"/>
      <c r="Z47" s="3"/>
      <c r="AA47" s="3"/>
    </row>
    <row r="48" spans="1:27" s="331" customFormat="1" ht="15.05" x14ac:dyDescent="0.3">
      <c r="A48" s="332">
        <v>4.12</v>
      </c>
      <c r="B48" s="371" t="s">
        <v>436</v>
      </c>
      <c r="C48" s="372"/>
      <c r="D48" s="327" t="s">
        <v>233</v>
      </c>
      <c r="E48" s="28">
        <f>'MEMORIA CANTIDADES'!I839</f>
        <v>30</v>
      </c>
      <c r="F48" s="29">
        <f>APUS!H1444</f>
        <v>7565</v>
      </c>
      <c r="G48" s="328">
        <f t="shared" si="6"/>
        <v>226950</v>
      </c>
      <c r="H48" s="329"/>
      <c r="I48" s="330"/>
      <c r="J48" s="330"/>
      <c r="K48" s="330"/>
      <c r="L48" s="31"/>
      <c r="M48" s="3"/>
      <c r="N48" s="3"/>
      <c r="O48" s="3"/>
      <c r="P48" s="3"/>
      <c r="Q48" s="3"/>
      <c r="R48" s="3"/>
      <c r="S48" s="3"/>
      <c r="T48" s="4"/>
      <c r="U48" s="3"/>
      <c r="V48" s="3"/>
      <c r="W48" s="3"/>
      <c r="X48" s="3"/>
      <c r="Y48" s="3"/>
      <c r="Z48" s="3"/>
      <c r="AA48" s="3"/>
    </row>
    <row r="49" spans="1:27" s="331" customFormat="1" ht="15.05" x14ac:dyDescent="0.3">
      <c r="A49" s="326">
        <v>4.13</v>
      </c>
      <c r="B49" s="370" t="s">
        <v>304</v>
      </c>
      <c r="C49" s="370"/>
      <c r="D49" s="327" t="s">
        <v>212</v>
      </c>
      <c r="E49" s="28">
        <f>'MEMORIA CANTIDADES'!I345</f>
        <v>54</v>
      </c>
      <c r="F49" s="29">
        <f>APUS!H1499</f>
        <v>58975</v>
      </c>
      <c r="G49" s="328">
        <f t="shared" si="6"/>
        <v>3184650</v>
      </c>
      <c r="H49" s="329"/>
      <c r="I49" s="330"/>
      <c r="J49" s="330"/>
      <c r="K49" s="330"/>
      <c r="L49" s="31"/>
      <c r="M49" s="3"/>
      <c r="N49" s="3"/>
      <c r="O49" s="3"/>
      <c r="P49" s="3"/>
      <c r="Q49" s="3"/>
      <c r="R49" s="3"/>
      <c r="S49" s="3"/>
      <c r="T49" s="4"/>
      <c r="U49" s="3"/>
      <c r="V49" s="3"/>
      <c r="W49" s="3"/>
      <c r="X49" s="3"/>
      <c r="Y49" s="3"/>
      <c r="Z49" s="3"/>
      <c r="AA49" s="3"/>
    </row>
    <row r="50" spans="1:27" s="23" customFormat="1" ht="15.05" x14ac:dyDescent="0.3">
      <c r="A50" s="306">
        <v>4.1399999999999997</v>
      </c>
      <c r="B50" s="370" t="s">
        <v>305</v>
      </c>
      <c r="C50" s="370"/>
      <c r="D50" s="27" t="s">
        <v>233</v>
      </c>
      <c r="E50" s="28">
        <f>'MEMORIA CANTIDADES'!I357</f>
        <v>209.37999999999994</v>
      </c>
      <c r="F50" s="29">
        <f>APUS!H1554</f>
        <v>27480</v>
      </c>
      <c r="G50" s="30">
        <f t="shared" ref="G50:G53" si="7">+ROUND(E50*F50,2)</f>
        <v>5753762.4000000004</v>
      </c>
      <c r="H50" s="25"/>
      <c r="I50" s="12"/>
      <c r="J50" s="12"/>
      <c r="K50" s="12"/>
      <c r="L50" s="31"/>
      <c r="M50" s="3"/>
      <c r="N50" s="3"/>
      <c r="O50" s="3"/>
      <c r="P50" s="3"/>
      <c r="Q50" s="3"/>
      <c r="R50" s="3"/>
      <c r="S50" s="3"/>
      <c r="T50" s="4"/>
      <c r="U50" s="3"/>
      <c r="V50" s="3"/>
      <c r="W50" s="3"/>
      <c r="X50" s="3"/>
      <c r="Y50" s="3"/>
      <c r="Z50" s="3"/>
      <c r="AA50" s="3"/>
    </row>
    <row r="51" spans="1:27" s="23" customFormat="1" ht="15.05" x14ac:dyDescent="0.3">
      <c r="A51" s="306">
        <v>4.1500000000000004</v>
      </c>
      <c r="B51" s="370" t="s">
        <v>306</v>
      </c>
      <c r="C51" s="370"/>
      <c r="D51" s="27" t="s">
        <v>212</v>
      </c>
      <c r="E51" s="28">
        <f>'MEMORIA CANTIDADES'!I369</f>
        <v>10</v>
      </c>
      <c r="F51" s="29">
        <f>APUS!H1725</f>
        <v>31006.25</v>
      </c>
      <c r="G51" s="30">
        <f t="shared" si="7"/>
        <v>310062.5</v>
      </c>
      <c r="H51" s="25"/>
      <c r="I51" s="12"/>
      <c r="J51" s="12"/>
      <c r="K51" s="12"/>
      <c r="L51" s="31"/>
      <c r="M51" s="3"/>
      <c r="N51" s="3"/>
      <c r="O51" s="3"/>
      <c r="P51" s="3"/>
      <c r="Q51" s="3"/>
      <c r="R51" s="3"/>
      <c r="S51" s="3"/>
      <c r="T51" s="4"/>
      <c r="U51" s="3"/>
      <c r="V51" s="3"/>
      <c r="W51" s="3"/>
      <c r="X51" s="3"/>
      <c r="Y51" s="3"/>
      <c r="Z51" s="3"/>
      <c r="AA51" s="3"/>
    </row>
    <row r="52" spans="1:27" s="23" customFormat="1" ht="15.05" x14ac:dyDescent="0.3">
      <c r="A52" s="18">
        <v>4.16</v>
      </c>
      <c r="B52" s="370" t="s">
        <v>307</v>
      </c>
      <c r="C52" s="370"/>
      <c r="D52" s="27" t="s">
        <v>212</v>
      </c>
      <c r="E52" s="28">
        <f>'MEMORIA CANTIDADES'!I381</f>
        <v>13</v>
      </c>
      <c r="F52" s="29">
        <f>APUS!H1670</f>
        <v>21006.25</v>
      </c>
      <c r="G52" s="30">
        <f t="shared" si="7"/>
        <v>273081.25</v>
      </c>
      <c r="H52" s="25"/>
      <c r="I52" s="12"/>
      <c r="J52" s="12"/>
      <c r="K52" s="12"/>
      <c r="L52" s="31"/>
      <c r="M52" s="3"/>
      <c r="N52" s="3"/>
      <c r="O52" s="3"/>
      <c r="P52" s="3"/>
      <c r="Q52" s="3"/>
      <c r="R52" s="3"/>
      <c r="S52" s="3"/>
      <c r="T52" s="4"/>
      <c r="U52" s="3"/>
      <c r="V52" s="3"/>
      <c r="W52" s="3"/>
      <c r="X52" s="3"/>
      <c r="Y52" s="3"/>
      <c r="Z52" s="3"/>
      <c r="AA52" s="3"/>
    </row>
    <row r="53" spans="1:27" s="23" customFormat="1" ht="15.05" x14ac:dyDescent="0.3">
      <c r="A53" s="18">
        <v>4.17</v>
      </c>
      <c r="B53" s="370" t="s">
        <v>308</v>
      </c>
      <c r="C53" s="370"/>
      <c r="D53" s="27" t="s">
        <v>212</v>
      </c>
      <c r="E53" s="28">
        <f>'MEMORIA CANTIDADES'!I393</f>
        <v>4</v>
      </c>
      <c r="F53" s="29">
        <f>APUS!H1725</f>
        <v>31006.25</v>
      </c>
      <c r="G53" s="30">
        <f t="shared" si="7"/>
        <v>124025</v>
      </c>
      <c r="H53" s="25"/>
      <c r="I53" s="12"/>
      <c r="J53" s="12"/>
      <c r="K53" s="12"/>
      <c r="L53" s="31"/>
      <c r="M53" s="3"/>
      <c r="N53" s="3"/>
      <c r="O53" s="3"/>
      <c r="P53" s="3"/>
      <c r="Q53" s="3"/>
      <c r="R53" s="3"/>
      <c r="S53" s="3"/>
      <c r="T53" s="4"/>
      <c r="U53" s="3"/>
      <c r="V53" s="3"/>
      <c r="W53" s="3"/>
      <c r="X53" s="3"/>
      <c r="Y53" s="3"/>
      <c r="Z53" s="3"/>
      <c r="AA53" s="3"/>
    </row>
    <row r="54" spans="1:27" s="23" customFormat="1" ht="15.05" x14ac:dyDescent="0.3">
      <c r="A54" s="18">
        <v>4.18</v>
      </c>
      <c r="B54" s="370" t="s">
        <v>587</v>
      </c>
      <c r="C54" s="370"/>
      <c r="D54" s="27" t="s">
        <v>233</v>
      </c>
      <c r="E54" s="28">
        <f>'MEMORIA CANTIDADES'!I405</f>
        <v>16</v>
      </c>
      <c r="F54" s="29">
        <f>APUS!H1780</f>
        <v>18340</v>
      </c>
      <c r="G54" s="30">
        <f t="shared" ref="G54" si="8">+ROUND(E54*F54,2)</f>
        <v>293440</v>
      </c>
      <c r="H54" s="25"/>
      <c r="I54" s="12"/>
      <c r="J54" s="12"/>
      <c r="K54" s="12"/>
      <c r="L54" s="31"/>
      <c r="M54" s="3"/>
      <c r="N54" s="3"/>
      <c r="O54" s="3"/>
      <c r="P54" s="3"/>
      <c r="Q54" s="3"/>
      <c r="R54" s="3"/>
      <c r="S54" s="3"/>
      <c r="T54" s="4"/>
      <c r="U54" s="3"/>
      <c r="V54" s="3"/>
      <c r="W54" s="3"/>
      <c r="X54" s="3"/>
      <c r="Y54" s="3"/>
      <c r="Z54" s="3"/>
      <c r="AA54" s="3"/>
    </row>
    <row r="55" spans="1:27" s="23" customFormat="1" ht="15.05" x14ac:dyDescent="0.3">
      <c r="A55" s="18"/>
      <c r="B55" s="405" t="s">
        <v>18</v>
      </c>
      <c r="C55" s="406"/>
      <c r="D55" s="406"/>
      <c r="E55" s="406"/>
      <c r="F55" s="407"/>
      <c r="G55" s="32">
        <f>ROUND(SUM(G37:G54),2)</f>
        <v>28851772.050000001</v>
      </c>
      <c r="H55" s="264">
        <v>0.32</v>
      </c>
      <c r="I55" s="265">
        <f>G55*H55</f>
        <v>9232567.0559999999</v>
      </c>
      <c r="J55" s="266">
        <v>0.03</v>
      </c>
      <c r="K55" s="267">
        <f>G55*J55</f>
        <v>865553.16150000005</v>
      </c>
      <c r="L55" s="268">
        <v>0.19</v>
      </c>
      <c r="M55" s="269">
        <f>L55*K55</f>
        <v>164455.10068500001</v>
      </c>
      <c r="N55" s="1"/>
      <c r="O55" s="269">
        <f>I55+M55</f>
        <v>9397022.1566850003</v>
      </c>
      <c r="P55" s="3"/>
      <c r="Q55" s="3"/>
      <c r="R55" s="3"/>
      <c r="S55" s="3"/>
      <c r="T55" s="4"/>
      <c r="U55" s="3"/>
      <c r="V55" s="3"/>
      <c r="W55" s="3"/>
      <c r="X55" s="3"/>
      <c r="Y55" s="3"/>
      <c r="Z55" s="3"/>
      <c r="AA55" s="3"/>
    </row>
    <row r="56" spans="1:27" s="23" customFormat="1" ht="17.2" customHeight="1" x14ac:dyDescent="0.3">
      <c r="A56" s="24">
        <v>5</v>
      </c>
      <c r="B56" s="376" t="s">
        <v>195</v>
      </c>
      <c r="C56" s="377"/>
      <c r="D56" s="377"/>
      <c r="E56" s="377"/>
      <c r="F56" s="377"/>
      <c r="G56" s="378"/>
      <c r="H56" s="25"/>
      <c r="I56" s="12"/>
      <c r="J56" s="15"/>
      <c r="K56" s="12"/>
      <c r="L56" s="26"/>
      <c r="M56" s="3"/>
      <c r="N56" s="3"/>
      <c r="O56" s="3"/>
      <c r="P56" s="3"/>
      <c r="Q56" s="3"/>
      <c r="R56" s="3"/>
      <c r="S56" s="3"/>
      <c r="T56" s="4"/>
      <c r="U56" s="3"/>
      <c r="V56" s="3"/>
      <c r="W56" s="3"/>
      <c r="X56" s="3"/>
      <c r="Y56" s="3"/>
      <c r="Z56" s="3"/>
      <c r="AA56" s="3"/>
    </row>
    <row r="57" spans="1:27" s="23" customFormat="1" ht="15.05" x14ac:dyDescent="0.3">
      <c r="A57" s="18">
        <v>5.0999999999999996</v>
      </c>
      <c r="B57" s="370" t="s">
        <v>214</v>
      </c>
      <c r="C57" s="370"/>
      <c r="D57" s="27" t="s">
        <v>233</v>
      </c>
      <c r="E57" s="28">
        <f>'MEMORIA CANTIDADES'!I416</f>
        <v>271.8</v>
      </c>
      <c r="F57" s="29">
        <f>APUS!H1841</f>
        <v>53550</v>
      </c>
      <c r="G57" s="30">
        <f t="shared" ref="G57:G58" si="9">+ROUND(E57*F57,2)</f>
        <v>14554890</v>
      </c>
      <c r="H57" s="25"/>
      <c r="I57" s="12"/>
      <c r="J57" s="12"/>
      <c r="K57" s="12"/>
      <c r="L57" s="31"/>
      <c r="M57" s="3"/>
      <c r="N57" s="3"/>
      <c r="O57" s="3"/>
      <c r="P57" s="3"/>
      <c r="Q57" s="3"/>
      <c r="R57" s="3"/>
      <c r="S57" s="3"/>
      <c r="T57" s="4"/>
      <c r="U57" s="3"/>
      <c r="V57" s="3"/>
      <c r="W57" s="3"/>
      <c r="X57" s="3"/>
      <c r="Y57" s="3"/>
      <c r="Z57" s="3"/>
      <c r="AA57" s="3"/>
    </row>
    <row r="58" spans="1:27" s="23" customFormat="1" ht="15.05" x14ac:dyDescent="0.3">
      <c r="A58" s="18">
        <v>5.2</v>
      </c>
      <c r="B58" s="370" t="s">
        <v>262</v>
      </c>
      <c r="C58" s="370"/>
      <c r="D58" s="27" t="s">
        <v>178</v>
      </c>
      <c r="E58" s="28">
        <f>'MEMORIA CANTIDADES'!I428</f>
        <v>205.36</v>
      </c>
      <c r="F58" s="29">
        <f>APUS!H1894</f>
        <v>69033.83</v>
      </c>
      <c r="G58" s="30">
        <f t="shared" si="9"/>
        <v>14176787.33</v>
      </c>
      <c r="H58" s="25"/>
      <c r="I58" s="12"/>
      <c r="J58" s="12"/>
      <c r="K58" s="12"/>
      <c r="L58" s="31"/>
      <c r="M58" s="3"/>
      <c r="N58" s="3"/>
      <c r="O58" s="3"/>
      <c r="P58" s="3"/>
      <c r="Q58" s="3"/>
      <c r="R58" s="3"/>
      <c r="S58" s="3"/>
      <c r="T58" s="4"/>
      <c r="U58" s="3"/>
      <c r="V58" s="3"/>
      <c r="W58" s="3"/>
      <c r="X58" s="3"/>
      <c r="Y58" s="3"/>
      <c r="Z58" s="3"/>
      <c r="AA58" s="3"/>
    </row>
    <row r="59" spans="1:27" s="23" customFormat="1" ht="15.05" x14ac:dyDescent="0.3">
      <c r="A59" s="18">
        <v>5.3</v>
      </c>
      <c r="B59" s="370" t="s">
        <v>620</v>
      </c>
      <c r="C59" s="370"/>
      <c r="D59" s="27" t="s">
        <v>233</v>
      </c>
      <c r="E59" s="28">
        <f>'MEMORIA CANTIDADES'!I440</f>
        <v>15.1</v>
      </c>
      <c r="F59" s="29">
        <f>APUS!H1947</f>
        <v>35992.22</v>
      </c>
      <c r="G59" s="30">
        <f t="shared" ref="G59" si="10">+ROUND(E59*F59,2)</f>
        <v>543482.52</v>
      </c>
      <c r="H59" s="25"/>
      <c r="I59" s="12"/>
      <c r="J59" s="12"/>
      <c r="K59" s="12"/>
      <c r="L59" s="31"/>
      <c r="M59" s="3"/>
      <c r="N59" s="3"/>
      <c r="O59" s="3"/>
      <c r="P59" s="3"/>
      <c r="Q59" s="3"/>
      <c r="R59" s="3"/>
      <c r="S59" s="3"/>
      <c r="T59" s="4"/>
      <c r="U59" s="3"/>
      <c r="V59" s="3"/>
      <c r="W59" s="3"/>
      <c r="X59" s="3"/>
      <c r="Y59" s="3"/>
      <c r="Z59" s="3"/>
      <c r="AA59" s="3"/>
    </row>
    <row r="60" spans="1:27" s="23" customFormat="1" ht="15.05" x14ac:dyDescent="0.3">
      <c r="A60" s="18"/>
      <c r="B60" s="375" t="s">
        <v>18</v>
      </c>
      <c r="C60" s="375"/>
      <c r="D60" s="375"/>
      <c r="E60" s="375"/>
      <c r="F60" s="375"/>
      <c r="G60" s="32">
        <f>ROUND(SUM(G57:G59),2)</f>
        <v>29275159.850000001</v>
      </c>
      <c r="H60" s="264">
        <v>0.32</v>
      </c>
      <c r="I60" s="265">
        <f>G60*H60</f>
        <v>9368051.1520000007</v>
      </c>
      <c r="J60" s="266">
        <v>0.03</v>
      </c>
      <c r="K60" s="267">
        <f>G60*J60</f>
        <v>878254.79550000001</v>
      </c>
      <c r="L60" s="268">
        <v>0.19</v>
      </c>
      <c r="M60" s="269">
        <f>L60*K60</f>
        <v>166868.41114499999</v>
      </c>
      <c r="N60" s="1"/>
      <c r="O60" s="269">
        <f>I60+M60</f>
        <v>9534919.5631450005</v>
      </c>
      <c r="P60" s="3"/>
      <c r="Q60" s="3"/>
      <c r="R60" s="3"/>
      <c r="S60" s="3"/>
      <c r="T60" s="4"/>
      <c r="U60" s="3"/>
      <c r="V60" s="3"/>
      <c r="W60" s="3"/>
      <c r="X60" s="3"/>
      <c r="Y60" s="3"/>
      <c r="Z60" s="3"/>
      <c r="AA60" s="3"/>
    </row>
    <row r="61" spans="1:27" s="23" customFormat="1" ht="17.2" customHeight="1" x14ac:dyDescent="0.3">
      <c r="A61" s="24">
        <v>6</v>
      </c>
      <c r="B61" s="376" t="s">
        <v>321</v>
      </c>
      <c r="C61" s="377"/>
      <c r="D61" s="377"/>
      <c r="E61" s="377"/>
      <c r="F61" s="377"/>
      <c r="G61" s="378"/>
      <c r="H61" s="25"/>
      <c r="I61" s="12"/>
      <c r="J61" s="15"/>
      <c r="K61" s="12"/>
      <c r="L61" s="26"/>
      <c r="M61" s="3"/>
      <c r="N61" s="3"/>
      <c r="O61" s="3"/>
      <c r="P61" s="3"/>
      <c r="Q61" s="3"/>
      <c r="R61" s="3"/>
      <c r="S61" s="3"/>
      <c r="T61" s="4"/>
      <c r="U61" s="3"/>
      <c r="V61" s="3"/>
      <c r="W61" s="3"/>
      <c r="X61" s="3"/>
      <c r="Y61" s="3"/>
      <c r="Z61" s="3"/>
      <c r="AA61" s="3"/>
    </row>
    <row r="62" spans="1:27" s="23" customFormat="1" ht="15.05" x14ac:dyDescent="0.3">
      <c r="A62" s="18">
        <v>6.1</v>
      </c>
      <c r="B62" s="370" t="s">
        <v>297</v>
      </c>
      <c r="C62" s="370"/>
      <c r="D62" s="27" t="s">
        <v>178</v>
      </c>
      <c r="E62" s="28">
        <f>'MEMORIA CANTIDADES'!I465+'MEMORIA CANTIDADES'!I732</f>
        <v>323.81049999999993</v>
      </c>
      <c r="F62" s="29">
        <f>APUS!H2000</f>
        <v>72137.119999999995</v>
      </c>
      <c r="G62" s="30">
        <f>+ROUND(E62*F62,2)</f>
        <v>23358756.899999999</v>
      </c>
      <c r="H62" s="25"/>
      <c r="I62" s="12"/>
      <c r="J62" s="12"/>
      <c r="K62" s="12"/>
      <c r="L62" s="31"/>
      <c r="M62" s="3"/>
      <c r="N62" s="3"/>
      <c r="O62" s="3"/>
      <c r="P62" s="3"/>
      <c r="Q62" s="3"/>
      <c r="R62" s="3"/>
      <c r="S62" s="3"/>
      <c r="T62" s="4"/>
      <c r="U62" s="3"/>
      <c r="V62" s="3"/>
      <c r="W62" s="3"/>
      <c r="X62" s="3"/>
      <c r="Y62" s="3"/>
      <c r="Z62" s="3"/>
      <c r="AA62" s="3"/>
    </row>
    <row r="63" spans="1:27" s="331" customFormat="1" ht="15.05" x14ac:dyDescent="0.3">
      <c r="A63" s="326">
        <v>6.2</v>
      </c>
      <c r="B63" s="373" t="s">
        <v>376</v>
      </c>
      <c r="C63" s="374"/>
      <c r="D63" s="327" t="s">
        <v>178</v>
      </c>
      <c r="E63" s="28">
        <f>'MEMORIA CANTIDADES'!I738</f>
        <v>13.209000000000001</v>
      </c>
      <c r="F63" s="29">
        <f>APUS!H2054</f>
        <v>67276</v>
      </c>
      <c r="G63" s="328">
        <f>+ROUND(E63*F63,2)</f>
        <v>888648.68</v>
      </c>
      <c r="H63" s="329"/>
      <c r="I63" s="330"/>
      <c r="J63" s="330"/>
      <c r="K63" s="330"/>
      <c r="L63" s="31"/>
      <c r="M63" s="3"/>
      <c r="N63" s="3"/>
      <c r="O63" s="3"/>
      <c r="P63" s="3"/>
      <c r="Q63" s="3"/>
      <c r="R63" s="3"/>
      <c r="S63" s="3"/>
      <c r="T63" s="4"/>
      <c r="U63" s="3"/>
      <c r="V63" s="3"/>
      <c r="W63" s="3"/>
      <c r="X63" s="3"/>
      <c r="Y63" s="3"/>
      <c r="Z63" s="3"/>
      <c r="AA63" s="3"/>
    </row>
    <row r="64" spans="1:27" s="331" customFormat="1" ht="33.049999999999997" customHeight="1" x14ac:dyDescent="0.3">
      <c r="A64" s="326">
        <v>6.3</v>
      </c>
      <c r="B64" s="371" t="s">
        <v>446</v>
      </c>
      <c r="C64" s="372"/>
      <c r="D64" s="327" t="s">
        <v>233</v>
      </c>
      <c r="E64" s="28">
        <f>'MEMORIA CANTIDADES'!I832</f>
        <v>10</v>
      </c>
      <c r="F64" s="29">
        <f>APUS!H2119</f>
        <v>104540.88398399999</v>
      </c>
      <c r="G64" s="328">
        <f>+ROUND(E64*F64,2)</f>
        <v>1045408.84</v>
      </c>
      <c r="H64" s="329"/>
      <c r="I64" s="330"/>
      <c r="J64" s="330"/>
      <c r="K64" s="330"/>
      <c r="L64" s="31"/>
      <c r="M64" s="3"/>
      <c r="N64" s="3"/>
      <c r="O64" s="3"/>
      <c r="P64" s="3"/>
      <c r="Q64" s="3"/>
      <c r="R64" s="3"/>
      <c r="S64" s="3"/>
      <c r="T64" s="4"/>
      <c r="U64" s="3"/>
      <c r="V64" s="3"/>
      <c r="W64" s="3"/>
      <c r="X64" s="3"/>
      <c r="Y64" s="3"/>
      <c r="Z64" s="3"/>
      <c r="AA64" s="3"/>
    </row>
    <row r="65" spans="1:27" s="331" customFormat="1" ht="15.05" x14ac:dyDescent="0.3">
      <c r="A65" s="326">
        <v>6.4</v>
      </c>
      <c r="B65" s="370" t="s">
        <v>198</v>
      </c>
      <c r="C65" s="370"/>
      <c r="D65" s="327" t="s">
        <v>178</v>
      </c>
      <c r="E65" s="28">
        <f>'MEMORIA CANTIDADES'!I489+'MEMORIA CANTIDADES'!I746</f>
        <v>639.02549999999997</v>
      </c>
      <c r="F65" s="29">
        <f>APUS!H2164</f>
        <v>35728</v>
      </c>
      <c r="G65" s="328">
        <f t="shared" ref="G65:G67" si="11">+ROUND(E65*F65,2)</f>
        <v>22831103.059999999</v>
      </c>
      <c r="H65" s="329"/>
      <c r="I65" s="330"/>
      <c r="J65" s="330"/>
      <c r="K65" s="330"/>
      <c r="L65" s="31"/>
      <c r="M65" s="3"/>
      <c r="N65" s="3"/>
      <c r="O65" s="3"/>
      <c r="P65" s="3"/>
      <c r="Q65" s="3"/>
      <c r="R65" s="3"/>
      <c r="S65" s="3"/>
      <c r="T65" s="4"/>
      <c r="U65" s="3"/>
      <c r="V65" s="3"/>
      <c r="W65" s="3"/>
      <c r="X65" s="3"/>
      <c r="Y65" s="3"/>
      <c r="Z65" s="3"/>
      <c r="AA65" s="3"/>
    </row>
    <row r="66" spans="1:27" s="331" customFormat="1" ht="15.05" x14ac:dyDescent="0.3">
      <c r="A66" s="326">
        <v>6.5</v>
      </c>
      <c r="B66" s="370" t="s">
        <v>236</v>
      </c>
      <c r="C66" s="370"/>
      <c r="D66" s="327" t="s">
        <v>178</v>
      </c>
      <c r="E66" s="28">
        <f>'MEMORIA CANTIDADES'!I513+'MEMORIA CANTIDADES'!I754</f>
        <v>639.02549999999997</v>
      </c>
      <c r="F66" s="29">
        <f>APUS!H2218</f>
        <v>22412.5</v>
      </c>
      <c r="G66" s="328">
        <f t="shared" si="11"/>
        <v>14322159.02</v>
      </c>
      <c r="H66" s="329"/>
      <c r="I66" s="330"/>
      <c r="J66" s="330"/>
      <c r="K66" s="330"/>
      <c r="L66" s="31"/>
      <c r="M66" s="3"/>
      <c r="N66" s="3"/>
      <c r="O66" s="3"/>
      <c r="P66" s="3"/>
      <c r="Q66" s="3"/>
      <c r="R66" s="3"/>
      <c r="S66" s="3"/>
      <c r="T66" s="4"/>
      <c r="U66" s="3"/>
      <c r="V66" s="3"/>
      <c r="W66" s="3"/>
      <c r="X66" s="3"/>
      <c r="Y66" s="3"/>
      <c r="Z66" s="3"/>
      <c r="AA66" s="3"/>
    </row>
    <row r="67" spans="1:27" s="331" customFormat="1" ht="15.05" x14ac:dyDescent="0.3">
      <c r="A67" s="326">
        <v>6.6</v>
      </c>
      <c r="B67" s="370" t="s">
        <v>237</v>
      </c>
      <c r="C67" s="370"/>
      <c r="D67" s="327" t="s">
        <v>178</v>
      </c>
      <c r="E67" s="28">
        <f>'MEMORIA CANTIDADES'!I537+'MEMORIA CANTIDADES'!I762+'MEMORIA CANTIDADES'!I848</f>
        <v>1194.5158999999999</v>
      </c>
      <c r="F67" s="29">
        <f>APUS!H2271</f>
        <v>18500</v>
      </c>
      <c r="G67" s="328">
        <f t="shared" si="11"/>
        <v>22098544.149999999</v>
      </c>
      <c r="H67" s="329"/>
      <c r="I67" s="330"/>
      <c r="J67" s="330"/>
      <c r="K67" s="330"/>
      <c r="L67" s="31"/>
      <c r="M67" s="3"/>
      <c r="N67" s="3"/>
      <c r="O67" s="3"/>
      <c r="P67" s="3"/>
      <c r="Q67" s="3"/>
      <c r="R67" s="3"/>
      <c r="S67" s="3"/>
      <c r="T67" s="4"/>
      <c r="U67" s="3"/>
      <c r="V67" s="3"/>
      <c r="W67" s="3"/>
      <c r="X67" s="3"/>
      <c r="Y67" s="3"/>
      <c r="Z67" s="3"/>
      <c r="AA67" s="3"/>
    </row>
    <row r="68" spans="1:27" s="331" customFormat="1" ht="15.05" x14ac:dyDescent="0.3">
      <c r="A68" s="326">
        <v>6.7</v>
      </c>
      <c r="B68" s="370" t="s">
        <v>323</v>
      </c>
      <c r="C68" s="370"/>
      <c r="D68" s="327" t="s">
        <v>178</v>
      </c>
      <c r="E68" s="28">
        <f>'MEMORIA CANTIDADES'!I550+'MEMORIA CANTIDADES'!I769</f>
        <v>193.62849999999997</v>
      </c>
      <c r="F68" s="29">
        <f>APUS!H2324</f>
        <v>96075</v>
      </c>
      <c r="G68" s="328">
        <f>+ROUND(E68*F68,2)</f>
        <v>18602858.140000001</v>
      </c>
      <c r="H68" s="329"/>
      <c r="I68" s="330"/>
      <c r="J68" s="330"/>
      <c r="K68" s="330"/>
      <c r="L68" s="31"/>
      <c r="M68" s="3"/>
      <c r="N68" s="3"/>
      <c r="O68" s="3"/>
      <c r="P68" s="3"/>
      <c r="Q68" s="3"/>
      <c r="R68" s="3"/>
      <c r="S68" s="3"/>
      <c r="T68" s="4"/>
      <c r="U68" s="3"/>
      <c r="V68" s="3"/>
      <c r="W68" s="3"/>
      <c r="X68" s="3"/>
      <c r="Y68" s="3"/>
      <c r="Z68" s="3"/>
      <c r="AA68" s="3"/>
    </row>
    <row r="69" spans="1:27" s="331" customFormat="1" ht="15.05" x14ac:dyDescent="0.3">
      <c r="A69" s="326">
        <v>6.8</v>
      </c>
      <c r="B69" s="373" t="s">
        <v>382</v>
      </c>
      <c r="C69" s="374"/>
      <c r="D69" s="327" t="s">
        <v>178</v>
      </c>
      <c r="E69" s="28">
        <f>'MEMORIA CANTIDADES'!I776+'MEMORIA CANTIDADES'!I563</f>
        <v>61.406999999999996</v>
      </c>
      <c r="F69" s="29">
        <f>APUS!H2376</f>
        <v>95250</v>
      </c>
      <c r="G69" s="328">
        <f>+ROUND(E69*F69,2)</f>
        <v>5849016.75</v>
      </c>
      <c r="H69" s="329"/>
      <c r="I69" s="330"/>
      <c r="J69" s="330"/>
      <c r="K69" s="330"/>
      <c r="L69" s="31"/>
      <c r="M69" s="3"/>
      <c r="N69" s="3"/>
      <c r="O69" s="3"/>
      <c r="P69" s="3"/>
      <c r="Q69" s="3"/>
      <c r="R69" s="3"/>
      <c r="S69" s="3"/>
      <c r="T69" s="4"/>
      <c r="U69" s="3"/>
      <c r="V69" s="3"/>
      <c r="W69" s="3"/>
      <c r="X69" s="3"/>
      <c r="Y69" s="3"/>
      <c r="Z69" s="3"/>
      <c r="AA69" s="3"/>
    </row>
    <row r="70" spans="1:27" s="331" customFormat="1" ht="15.05" x14ac:dyDescent="0.3">
      <c r="A70" s="326">
        <v>6.9</v>
      </c>
      <c r="B70" s="370" t="s">
        <v>322</v>
      </c>
      <c r="C70" s="370"/>
      <c r="D70" s="327" t="s">
        <v>233</v>
      </c>
      <c r="E70" s="28">
        <f>'MEMORIA CANTIDADES'!I575+'MEMORIA CANTIDADES'!I783</f>
        <v>179.72</v>
      </c>
      <c r="F70" s="29">
        <f>APUS!H2440</f>
        <v>33834.807054000004</v>
      </c>
      <c r="G70" s="328">
        <f t="shared" ref="G70" si="12">+ROUND(E70*F70,2)</f>
        <v>6080791.5199999996</v>
      </c>
      <c r="H70" s="329"/>
      <c r="I70" s="330"/>
      <c r="J70" s="330"/>
      <c r="K70" s="330"/>
      <c r="L70" s="31"/>
      <c r="M70" s="3"/>
      <c r="N70" s="3"/>
      <c r="O70" s="3"/>
      <c r="P70" s="3"/>
      <c r="Q70" s="3"/>
      <c r="R70" s="3"/>
      <c r="S70" s="3"/>
      <c r="T70" s="4"/>
      <c r="U70" s="3"/>
      <c r="V70" s="3"/>
      <c r="W70" s="3"/>
      <c r="X70" s="3"/>
      <c r="Y70" s="3"/>
      <c r="Z70" s="3"/>
      <c r="AA70" s="3"/>
    </row>
    <row r="71" spans="1:27" ht="15.05" x14ac:dyDescent="0.3">
      <c r="A71" s="18"/>
      <c r="B71" s="375" t="s">
        <v>18</v>
      </c>
      <c r="C71" s="375"/>
      <c r="D71" s="375"/>
      <c r="E71" s="375"/>
      <c r="F71" s="375"/>
      <c r="G71" s="32">
        <f>ROUND(SUM(G62:G70),2)</f>
        <v>115077287.06</v>
      </c>
      <c r="H71" s="264">
        <v>0.32</v>
      </c>
      <c r="I71" s="265">
        <f>G71*H71</f>
        <v>36824731.859200001</v>
      </c>
      <c r="J71" s="266">
        <v>0.03</v>
      </c>
      <c r="K71" s="267">
        <f>G71*J71</f>
        <v>3452318.6118000001</v>
      </c>
      <c r="L71" s="268">
        <v>0.19</v>
      </c>
      <c r="M71" s="269">
        <f>L71*K71</f>
        <v>655940.53624200006</v>
      </c>
      <c r="N71" s="1"/>
      <c r="O71" s="269">
        <f>I71+M71</f>
        <v>37480672.395442002</v>
      </c>
    </row>
    <row r="72" spans="1:27" s="23" customFormat="1" ht="17.2" customHeight="1" x14ac:dyDescent="0.3">
      <c r="A72" s="24">
        <v>7</v>
      </c>
      <c r="B72" s="376" t="s">
        <v>330</v>
      </c>
      <c r="C72" s="377"/>
      <c r="D72" s="377"/>
      <c r="E72" s="377"/>
      <c r="F72" s="377"/>
      <c r="G72" s="378"/>
      <c r="H72" s="25"/>
      <c r="I72" s="12"/>
      <c r="J72" s="15"/>
      <c r="K72" s="12"/>
      <c r="L72" s="26"/>
      <c r="M72" s="3"/>
      <c r="N72" s="3"/>
      <c r="O72" s="3"/>
      <c r="P72" s="3"/>
      <c r="Q72" s="3"/>
      <c r="R72" s="3"/>
      <c r="S72" s="3"/>
      <c r="T72" s="4"/>
      <c r="U72" s="3"/>
      <c r="V72" s="3"/>
      <c r="W72" s="3"/>
      <c r="X72" s="3"/>
      <c r="Y72" s="3"/>
      <c r="Z72" s="3"/>
      <c r="AA72" s="3"/>
    </row>
    <row r="73" spans="1:27" s="331" customFormat="1" ht="15.05" x14ac:dyDescent="0.3">
      <c r="A73" s="326">
        <v>7.1</v>
      </c>
      <c r="B73" s="370" t="s">
        <v>332</v>
      </c>
      <c r="C73" s="370"/>
      <c r="D73" s="327" t="s">
        <v>212</v>
      </c>
      <c r="E73" s="28">
        <f>'MEMORIA CANTIDADES'!I587</f>
        <v>4</v>
      </c>
      <c r="F73" s="29">
        <f>APUS!H2484</f>
        <v>1219125</v>
      </c>
      <c r="G73" s="328">
        <f>+ROUND(E73*F73,2)</f>
        <v>4876500</v>
      </c>
      <c r="H73" s="329"/>
      <c r="I73" s="330"/>
      <c r="J73" s="330"/>
      <c r="K73" s="330"/>
      <c r="L73" s="31"/>
      <c r="M73" s="3"/>
      <c r="N73" s="3"/>
      <c r="O73" s="3"/>
      <c r="P73" s="3"/>
      <c r="Q73" s="3"/>
      <c r="R73" s="3"/>
      <c r="S73" s="3"/>
      <c r="T73" s="4"/>
      <c r="U73" s="3"/>
      <c r="V73" s="3"/>
      <c r="W73" s="3"/>
      <c r="X73" s="3"/>
      <c r="Y73" s="3"/>
      <c r="Z73" s="3"/>
      <c r="AA73" s="3"/>
    </row>
    <row r="74" spans="1:27" s="331" customFormat="1" ht="15.05" x14ac:dyDescent="0.3">
      <c r="A74" s="326">
        <v>7.2</v>
      </c>
      <c r="B74" s="370" t="s">
        <v>331</v>
      </c>
      <c r="C74" s="370"/>
      <c r="D74" s="327" t="s">
        <v>212</v>
      </c>
      <c r="E74" s="28">
        <f>'MEMORIA CANTIDADES'!I599+'MEMORIA CANTIDADES'!I792</f>
        <v>5</v>
      </c>
      <c r="F74" s="29">
        <f>APUS!H2537</f>
        <v>739125</v>
      </c>
      <c r="G74" s="328">
        <f t="shared" ref="G74:G78" si="13">+ROUND(E74*F74,2)</f>
        <v>3695625</v>
      </c>
      <c r="H74" s="329"/>
      <c r="I74" s="330"/>
      <c r="J74" s="330"/>
      <c r="K74" s="330"/>
      <c r="L74" s="31"/>
      <c r="M74" s="3"/>
      <c r="N74" s="3"/>
      <c r="O74" s="3"/>
      <c r="P74" s="3"/>
      <c r="Q74" s="3"/>
      <c r="R74" s="3"/>
      <c r="S74" s="3"/>
      <c r="T74" s="4"/>
      <c r="U74" s="3"/>
      <c r="V74" s="3"/>
      <c r="W74" s="3"/>
      <c r="X74" s="3"/>
      <c r="Y74" s="3"/>
      <c r="Z74" s="3"/>
      <c r="AA74" s="3"/>
    </row>
    <row r="75" spans="1:27" s="331" customFormat="1" ht="15.05" x14ac:dyDescent="0.3">
      <c r="A75" s="326">
        <v>7.3</v>
      </c>
      <c r="B75" s="373" t="s">
        <v>405</v>
      </c>
      <c r="C75" s="374"/>
      <c r="D75" s="327" t="s">
        <v>212</v>
      </c>
      <c r="E75" s="28">
        <f>'MEMORIA CANTIDADES'!I799</f>
        <v>2</v>
      </c>
      <c r="F75" s="29">
        <f>APUS!H2590</f>
        <v>420406.25</v>
      </c>
      <c r="G75" s="328">
        <f t="shared" si="13"/>
        <v>840812.5</v>
      </c>
      <c r="H75" s="329"/>
      <c r="I75" s="330"/>
      <c r="J75" s="330"/>
      <c r="K75" s="330"/>
      <c r="L75" s="31"/>
      <c r="M75" s="3"/>
      <c r="N75" s="3"/>
      <c r="O75" s="3"/>
      <c r="P75" s="3"/>
      <c r="Q75" s="3"/>
      <c r="R75" s="3"/>
      <c r="S75" s="3"/>
      <c r="T75" s="4"/>
      <c r="U75" s="3"/>
      <c r="V75" s="3"/>
      <c r="W75" s="3"/>
      <c r="X75" s="3"/>
      <c r="Y75" s="3"/>
      <c r="Z75" s="3"/>
      <c r="AA75" s="3"/>
    </row>
    <row r="76" spans="1:27" s="331" customFormat="1" ht="15.05" x14ac:dyDescent="0.3">
      <c r="A76" s="326">
        <v>7.4</v>
      </c>
      <c r="B76" s="370" t="s">
        <v>484</v>
      </c>
      <c r="C76" s="370"/>
      <c r="D76" s="327" t="s">
        <v>212</v>
      </c>
      <c r="E76" s="28">
        <f>'MEMORIA CANTIDADES'!I611</f>
        <v>4</v>
      </c>
      <c r="F76" s="29">
        <f>APUS!H2644</f>
        <v>625812.5</v>
      </c>
      <c r="G76" s="328">
        <f t="shared" si="13"/>
        <v>2503250</v>
      </c>
      <c r="H76" s="329"/>
      <c r="I76" s="330"/>
      <c r="J76" s="330"/>
      <c r="K76" s="330"/>
      <c r="L76" s="31"/>
      <c r="M76" s="3"/>
      <c r="N76" s="3"/>
      <c r="O76" s="3"/>
      <c r="P76" s="3"/>
      <c r="Q76" s="3"/>
      <c r="R76" s="3"/>
      <c r="S76" s="3"/>
      <c r="T76" s="4"/>
      <c r="U76" s="3"/>
      <c r="V76" s="3"/>
      <c r="W76" s="3"/>
      <c r="X76" s="3"/>
      <c r="Y76" s="3"/>
      <c r="Z76" s="3"/>
      <c r="AA76" s="3"/>
    </row>
    <row r="77" spans="1:27" s="331" customFormat="1" ht="15.05" x14ac:dyDescent="0.3">
      <c r="A77" s="326">
        <v>7.5</v>
      </c>
      <c r="B77" s="370" t="s">
        <v>417</v>
      </c>
      <c r="C77" s="370"/>
      <c r="D77" s="327" t="s">
        <v>212</v>
      </c>
      <c r="E77" s="28">
        <f>'MEMORIA CANTIDADES'!I806</f>
        <v>1</v>
      </c>
      <c r="F77" s="29">
        <f>APUS!H2697</f>
        <v>376812.5</v>
      </c>
      <c r="G77" s="328">
        <f t="shared" si="13"/>
        <v>376812.5</v>
      </c>
      <c r="H77" s="329"/>
      <c r="I77" s="330"/>
      <c r="J77" s="330"/>
      <c r="K77" s="330"/>
      <c r="L77" s="31"/>
      <c r="M77" s="3"/>
      <c r="N77" s="3"/>
      <c r="O77" s="3"/>
      <c r="P77" s="3"/>
      <c r="Q77" s="3"/>
      <c r="R77" s="3"/>
      <c r="S77" s="3"/>
      <c r="T77" s="4"/>
      <c r="U77" s="3"/>
      <c r="V77" s="3"/>
      <c r="W77" s="3"/>
      <c r="X77" s="3"/>
      <c r="Y77" s="3"/>
      <c r="Z77" s="3"/>
      <c r="AA77" s="3"/>
    </row>
    <row r="78" spans="1:27" s="331" customFormat="1" ht="15.05" x14ac:dyDescent="0.3">
      <c r="A78" s="326">
        <v>7.6</v>
      </c>
      <c r="B78" s="370" t="s">
        <v>619</v>
      </c>
      <c r="C78" s="370"/>
      <c r="D78" s="327" t="s">
        <v>212</v>
      </c>
      <c r="E78" s="28">
        <f>'MEMORIA CANTIDADES'!I623</f>
        <v>4</v>
      </c>
      <c r="F78" s="29">
        <f>APUS!H2752</f>
        <v>1709150</v>
      </c>
      <c r="G78" s="328">
        <f t="shared" si="13"/>
        <v>6836600</v>
      </c>
      <c r="H78" s="329"/>
      <c r="I78" s="330"/>
      <c r="J78" s="330"/>
      <c r="K78" s="330"/>
      <c r="L78" s="31"/>
      <c r="M78" s="3"/>
      <c r="N78" s="3"/>
      <c r="O78" s="3"/>
      <c r="P78" s="3"/>
      <c r="Q78" s="3"/>
      <c r="R78" s="3"/>
      <c r="S78" s="3"/>
      <c r="T78" s="4"/>
      <c r="U78" s="3"/>
      <c r="V78" s="3"/>
      <c r="W78" s="3"/>
      <c r="X78" s="3"/>
      <c r="Y78" s="3"/>
      <c r="Z78" s="3"/>
      <c r="AA78" s="3"/>
    </row>
    <row r="79" spans="1:27" s="331" customFormat="1" ht="15.05" x14ac:dyDescent="0.3">
      <c r="A79" s="326">
        <v>7.7</v>
      </c>
      <c r="B79" s="371" t="s">
        <v>360</v>
      </c>
      <c r="C79" s="372"/>
      <c r="D79" s="327" t="s">
        <v>233</v>
      </c>
      <c r="E79" s="28">
        <f>'MEMORIA CANTIDADES'!I814</f>
        <v>48.74</v>
      </c>
      <c r="F79" s="29">
        <f>APUS!H2858</f>
        <v>800050</v>
      </c>
      <c r="G79" s="328">
        <f t="shared" ref="G79:G80" si="14">+ROUND(E79*F79,2)</f>
        <v>38994437</v>
      </c>
      <c r="H79" s="329"/>
      <c r="I79" s="330"/>
      <c r="J79" s="330"/>
      <c r="K79" s="330"/>
      <c r="L79" s="31"/>
      <c r="M79" s="3"/>
      <c r="N79" s="3"/>
      <c r="O79" s="3"/>
      <c r="P79" s="3"/>
      <c r="Q79" s="3"/>
      <c r="R79" s="3"/>
      <c r="S79" s="3"/>
      <c r="T79" s="4"/>
      <c r="U79" s="3"/>
      <c r="V79" s="3"/>
      <c r="W79" s="3"/>
      <c r="X79" s="3"/>
      <c r="Y79" s="3"/>
      <c r="Z79" s="3"/>
      <c r="AA79" s="3"/>
    </row>
    <row r="80" spans="1:27" s="331" customFormat="1" ht="15.05" x14ac:dyDescent="0.3">
      <c r="A80" s="326">
        <v>7.8</v>
      </c>
      <c r="B80" s="371" t="s">
        <v>361</v>
      </c>
      <c r="C80" s="372"/>
      <c r="D80" s="327" t="s">
        <v>233</v>
      </c>
      <c r="E80" s="28">
        <f>'MEMORIA CANTIDADES'!I822</f>
        <v>23.85</v>
      </c>
      <c r="F80" s="29">
        <f>APUS!H2910</f>
        <v>401050</v>
      </c>
      <c r="G80" s="328">
        <f t="shared" si="14"/>
        <v>9565042.5</v>
      </c>
      <c r="H80" s="329"/>
      <c r="I80" s="330"/>
      <c r="J80" s="330"/>
      <c r="K80" s="330"/>
      <c r="L80" s="31"/>
      <c r="M80" s="3"/>
      <c r="N80" s="3"/>
      <c r="O80" s="3"/>
      <c r="P80" s="3"/>
      <c r="Q80" s="3"/>
      <c r="R80" s="3"/>
      <c r="S80" s="3"/>
      <c r="T80" s="4"/>
      <c r="U80" s="3"/>
      <c r="V80" s="3"/>
      <c r="W80" s="3"/>
      <c r="X80" s="3"/>
      <c r="Y80" s="3"/>
      <c r="Z80" s="3"/>
      <c r="AA80" s="3"/>
    </row>
    <row r="81" spans="1:28" ht="15.05" x14ac:dyDescent="0.3">
      <c r="A81" s="18"/>
      <c r="B81" s="375" t="s">
        <v>18</v>
      </c>
      <c r="C81" s="375"/>
      <c r="D81" s="375"/>
      <c r="E81" s="375"/>
      <c r="F81" s="375"/>
      <c r="G81" s="32">
        <f>ROUND(SUM(G73:G80),2)</f>
        <v>67689079.5</v>
      </c>
      <c r="H81" s="264">
        <v>0.32</v>
      </c>
      <c r="I81" s="265">
        <f>G81*H81</f>
        <v>21660505.440000001</v>
      </c>
      <c r="J81" s="266">
        <v>0.03</v>
      </c>
      <c r="K81" s="267">
        <f>G81*J81</f>
        <v>2030672.385</v>
      </c>
      <c r="L81" s="268">
        <v>0.19</v>
      </c>
      <c r="M81" s="269">
        <f>L81*K81</f>
        <v>385827.75315</v>
      </c>
      <c r="N81" s="1"/>
      <c r="O81" s="269">
        <f>I81+M81</f>
        <v>22046333.193150003</v>
      </c>
    </row>
    <row r="82" spans="1:28" ht="15.75" customHeight="1" x14ac:dyDescent="0.3">
      <c r="A82" s="419"/>
      <c r="B82" s="420"/>
      <c r="C82" s="420"/>
      <c r="D82" s="420"/>
      <c r="E82" s="420"/>
      <c r="F82" s="420"/>
      <c r="G82" s="421"/>
      <c r="H82" s="35"/>
      <c r="I82" s="36"/>
      <c r="J82" s="36"/>
      <c r="K82" s="36"/>
      <c r="L82" s="36"/>
    </row>
    <row r="83" spans="1:28" ht="15.75" customHeight="1" x14ac:dyDescent="0.3">
      <c r="A83" s="416" t="s">
        <v>19</v>
      </c>
      <c r="B83" s="417"/>
      <c r="C83" s="417"/>
      <c r="D83" s="417"/>
      <c r="E83" s="417"/>
      <c r="F83" s="418"/>
      <c r="G83" s="261">
        <f>G23+G27+G35+G55+G60+G71+G81</f>
        <v>344620831.62</v>
      </c>
      <c r="H83" s="35"/>
      <c r="I83" s="36"/>
      <c r="J83" s="36"/>
      <c r="K83" s="36"/>
      <c r="L83" s="36"/>
    </row>
    <row r="84" spans="1:28" s="23" customFormat="1" ht="17.2" customHeight="1" x14ac:dyDescent="0.3">
      <c r="A84" s="414" t="s">
        <v>20</v>
      </c>
      <c r="B84" s="415"/>
      <c r="C84" s="415"/>
      <c r="D84" s="415"/>
      <c r="E84" s="415"/>
      <c r="F84" s="37">
        <v>0.28000000000000003</v>
      </c>
      <c r="G84" s="38">
        <f>ROUND(F84*$G$83,2)</f>
        <v>96493832.849999994</v>
      </c>
      <c r="I84" s="12"/>
      <c r="J84" s="12"/>
      <c r="K84" s="12"/>
      <c r="L84" s="31"/>
      <c r="M84" s="3"/>
      <c r="N84" s="3"/>
      <c r="O84" s="3"/>
      <c r="P84" s="3"/>
      <c r="Q84" s="3"/>
      <c r="R84" s="3"/>
      <c r="S84" s="3"/>
      <c r="T84" s="4"/>
      <c r="U84" s="3"/>
      <c r="V84" s="3"/>
      <c r="W84" s="3"/>
      <c r="X84" s="3"/>
      <c r="Y84" s="3"/>
      <c r="Z84" s="3"/>
      <c r="AA84" s="3"/>
    </row>
    <row r="85" spans="1:28" s="23" customFormat="1" ht="17.2" customHeight="1" x14ac:dyDescent="0.3">
      <c r="A85" s="414" t="s">
        <v>21</v>
      </c>
      <c r="B85" s="415"/>
      <c r="C85" s="415"/>
      <c r="D85" s="415"/>
      <c r="E85" s="415"/>
      <c r="F85" s="37">
        <v>0.01</v>
      </c>
      <c r="G85" s="38">
        <f>ROUND(F85*$G$83,2)</f>
        <v>3446208.32</v>
      </c>
      <c r="I85" s="39"/>
      <c r="J85" s="40"/>
      <c r="K85" s="12"/>
      <c r="L85" s="31"/>
      <c r="M85" s="3"/>
      <c r="N85" s="3"/>
      <c r="O85" s="3"/>
      <c r="P85" s="3"/>
      <c r="Q85" s="3"/>
      <c r="R85" s="3"/>
      <c r="S85" s="3"/>
      <c r="T85" s="4"/>
      <c r="U85" s="3"/>
      <c r="V85" s="3"/>
      <c r="W85" s="3"/>
      <c r="X85" s="3"/>
      <c r="Y85" s="3"/>
      <c r="Z85" s="3"/>
      <c r="AA85" s="3"/>
    </row>
    <row r="86" spans="1:28" s="23" customFormat="1" ht="17.2" customHeight="1" x14ac:dyDescent="0.3">
      <c r="A86" s="414" t="s">
        <v>22</v>
      </c>
      <c r="B86" s="415"/>
      <c r="C86" s="415"/>
      <c r="D86" s="415"/>
      <c r="E86" s="415"/>
      <c r="F86" s="37">
        <v>0.03</v>
      </c>
      <c r="G86" s="38">
        <f>ROUND(F86*$G$83,2)</f>
        <v>10338624.949999999</v>
      </c>
      <c r="I86" s="39"/>
      <c r="J86" s="40"/>
      <c r="K86" s="12"/>
      <c r="L86" s="31"/>
      <c r="M86" s="3"/>
      <c r="N86" s="3"/>
      <c r="O86" s="3"/>
      <c r="P86" s="3"/>
      <c r="Q86" s="3"/>
      <c r="R86" s="3"/>
      <c r="S86" s="3"/>
      <c r="T86" s="4"/>
      <c r="U86" s="3"/>
      <c r="V86" s="3"/>
      <c r="W86" s="3"/>
      <c r="X86" s="3"/>
      <c r="Y86" s="3"/>
      <c r="Z86" s="3"/>
      <c r="AA86" s="3"/>
    </row>
    <row r="87" spans="1:28" s="23" customFormat="1" ht="17.2" customHeight="1" x14ac:dyDescent="0.3">
      <c r="A87" s="408" t="s">
        <v>23</v>
      </c>
      <c r="B87" s="409"/>
      <c r="C87" s="409"/>
      <c r="D87" s="409"/>
      <c r="E87" s="409"/>
      <c r="F87" s="410"/>
      <c r="G87" s="41">
        <f>SUM(G84:G86)</f>
        <v>110278666.11999999</v>
      </c>
      <c r="J87" s="39">
        <v>420000000</v>
      </c>
      <c r="K87" s="12"/>
      <c r="L87" s="31"/>
      <c r="M87" s="3"/>
      <c r="N87" s="3"/>
      <c r="O87" s="3"/>
      <c r="P87" s="3"/>
      <c r="Q87" s="3"/>
      <c r="R87" s="3"/>
      <c r="S87" s="3"/>
      <c r="T87" s="4"/>
      <c r="U87" s="3"/>
      <c r="V87" s="3"/>
      <c r="W87" s="3"/>
      <c r="X87" s="3"/>
      <c r="Y87" s="3"/>
      <c r="Z87" s="3"/>
      <c r="AA87" s="3"/>
    </row>
    <row r="88" spans="1:28" s="23" customFormat="1" ht="15.05" x14ac:dyDescent="0.3">
      <c r="A88" s="411" t="s">
        <v>24</v>
      </c>
      <c r="B88" s="412"/>
      <c r="C88" s="412"/>
      <c r="D88" s="412"/>
      <c r="E88" s="412"/>
      <c r="F88" s="413"/>
      <c r="G88" s="42">
        <f>ROUND(G83+G87,2)</f>
        <v>454899497.74000001</v>
      </c>
      <c r="H88" s="39">
        <v>73772147.129999995</v>
      </c>
      <c r="I88" s="39">
        <f>G88-H88</f>
        <v>381127350.61000001</v>
      </c>
      <c r="J88" s="39">
        <f>J87-G88</f>
        <v>-34899497.74000001</v>
      </c>
      <c r="K88" s="40"/>
      <c r="L88" s="40"/>
      <c r="M88" s="40"/>
      <c r="N88" s="3"/>
      <c r="O88" s="3"/>
      <c r="P88" s="3"/>
      <c r="Q88" s="3"/>
      <c r="R88" s="3"/>
      <c r="S88" s="3"/>
      <c r="T88" s="3"/>
      <c r="U88" s="4"/>
      <c r="V88" s="3"/>
      <c r="W88" s="3"/>
      <c r="X88" s="3"/>
      <c r="Y88" s="3"/>
      <c r="Z88" s="3"/>
      <c r="AA88" s="3"/>
      <c r="AB88" s="3"/>
    </row>
    <row r="89" spans="1:28" ht="15.05" x14ac:dyDescent="0.3">
      <c r="A89" s="43"/>
      <c r="B89" s="43"/>
      <c r="C89" s="43"/>
      <c r="D89" s="43"/>
      <c r="E89" s="43"/>
      <c r="F89" s="43"/>
      <c r="G89" s="25"/>
      <c r="H89" s="23"/>
      <c r="I89" s="44"/>
      <c r="J89" s="40"/>
    </row>
    <row r="90" spans="1:28" ht="15.05" x14ac:dyDescent="0.3">
      <c r="A90" s="43"/>
      <c r="B90" s="43"/>
      <c r="C90" s="43"/>
      <c r="D90" s="43"/>
      <c r="E90" s="43"/>
      <c r="F90" s="43"/>
      <c r="G90" s="25"/>
      <c r="H90" s="23"/>
      <c r="I90" s="44"/>
      <c r="J90" s="40"/>
    </row>
    <row r="91" spans="1:28" x14ac:dyDescent="0.3">
      <c r="A91" s="43"/>
      <c r="B91" s="43"/>
      <c r="C91" s="43"/>
      <c r="D91" s="43"/>
      <c r="E91" s="43"/>
      <c r="F91" s="43"/>
      <c r="G91" s="25"/>
    </row>
    <row r="92" spans="1:28" x14ac:dyDescent="0.3">
      <c r="A92" s="43"/>
      <c r="B92" s="43"/>
      <c r="C92" s="43"/>
      <c r="D92" s="43"/>
      <c r="E92" s="43"/>
      <c r="F92" s="43"/>
      <c r="G92" s="25"/>
    </row>
    <row r="93" spans="1:28" ht="15.05" x14ac:dyDescent="0.3">
      <c r="A93" s="3"/>
      <c r="B93" s="45" t="s">
        <v>25</v>
      </c>
      <c r="C93" s="45"/>
      <c r="D93" s="45"/>
      <c r="E93" s="46"/>
      <c r="F93" s="47"/>
      <c r="G93" s="48"/>
      <c r="H93" s="34"/>
    </row>
    <row r="94" spans="1:28" ht="15.05" x14ac:dyDescent="0.3">
      <c r="A94" s="3"/>
      <c r="B94" s="49" t="s">
        <v>26</v>
      </c>
      <c r="C94" s="50"/>
      <c r="D94" s="45"/>
      <c r="E94" s="49" t="s">
        <v>27</v>
      </c>
      <c r="F94" s="50"/>
      <c r="G94" s="50"/>
      <c r="H94" s="34"/>
    </row>
    <row r="95" spans="1:28" ht="15.05" x14ac:dyDescent="0.3">
      <c r="A95" s="3"/>
      <c r="B95" s="50" t="s">
        <v>28</v>
      </c>
      <c r="C95" s="51"/>
      <c r="E95" s="50" t="s">
        <v>29</v>
      </c>
      <c r="F95" s="50"/>
      <c r="G95" s="50"/>
      <c r="H95" s="34"/>
    </row>
    <row r="96" spans="1:28" ht="15.05" x14ac:dyDescent="0.3">
      <c r="E96" s="50" t="s">
        <v>30</v>
      </c>
      <c r="F96" s="50"/>
      <c r="G96" s="50"/>
      <c r="H96" s="34"/>
    </row>
  </sheetData>
  <mergeCells count="87">
    <mergeCell ref="B28:G28"/>
    <mergeCell ref="B64:C64"/>
    <mergeCell ref="B48:C48"/>
    <mergeCell ref="B41:C41"/>
    <mergeCell ref="B31:C31"/>
    <mergeCell ref="B32:C32"/>
    <mergeCell ref="B35:F35"/>
    <mergeCell ref="B33:C33"/>
    <mergeCell ref="B38:C38"/>
    <mergeCell ref="B62:C62"/>
    <mergeCell ref="B54:C54"/>
    <mergeCell ref="B59:C59"/>
    <mergeCell ref="B34:C34"/>
    <mergeCell ref="B63:C63"/>
    <mergeCell ref="B39:C39"/>
    <mergeCell ref="B42:C42"/>
    <mergeCell ref="A83:F83"/>
    <mergeCell ref="A82:G82"/>
    <mergeCell ref="B75:C75"/>
    <mergeCell ref="B68:C68"/>
    <mergeCell ref="B70:C70"/>
    <mergeCell ref="B69:C69"/>
    <mergeCell ref="B81:F81"/>
    <mergeCell ref="B73:C73"/>
    <mergeCell ref="B74:C74"/>
    <mergeCell ref="B76:C76"/>
    <mergeCell ref="A87:F87"/>
    <mergeCell ref="A88:F88"/>
    <mergeCell ref="A84:E84"/>
    <mergeCell ref="A85:E85"/>
    <mergeCell ref="A86:E86"/>
    <mergeCell ref="B71:F71"/>
    <mergeCell ref="B43:C43"/>
    <mergeCell ref="B49:C49"/>
    <mergeCell ref="B50:C50"/>
    <mergeCell ref="B61:G61"/>
    <mergeCell ref="B18:C18"/>
    <mergeCell ref="B21:C21"/>
    <mergeCell ref="D1:E1"/>
    <mergeCell ref="A8:G9"/>
    <mergeCell ref="A11:G11"/>
    <mergeCell ref="B13:C13"/>
    <mergeCell ref="B14:G14"/>
    <mergeCell ref="G1:G6"/>
    <mergeCell ref="D2:E3"/>
    <mergeCell ref="F2:F3"/>
    <mergeCell ref="D4:E4"/>
    <mergeCell ref="C5:C6"/>
    <mergeCell ref="D5:E6"/>
    <mergeCell ref="B15:C15"/>
    <mergeCell ref="A1:B6"/>
    <mergeCell ref="C1:C2"/>
    <mergeCell ref="B16:C16"/>
    <mergeCell ref="B17:C17"/>
    <mergeCell ref="B44:C44"/>
    <mergeCell ref="B29:C29"/>
    <mergeCell ref="B30:C30"/>
    <mergeCell ref="B47:C47"/>
    <mergeCell ref="B46:C46"/>
    <mergeCell ref="B45:C45"/>
    <mergeCell ref="B36:G36"/>
    <mergeCell ref="B37:C37"/>
    <mergeCell ref="B40:C40"/>
    <mergeCell ref="B19:C19"/>
    <mergeCell ref="B23:F23"/>
    <mergeCell ref="B24:G24"/>
    <mergeCell ref="B25:C25"/>
    <mergeCell ref="B27:F27"/>
    <mergeCell ref="B22:C22"/>
    <mergeCell ref="B26:C26"/>
    <mergeCell ref="B20:C20"/>
    <mergeCell ref="B78:C78"/>
    <mergeCell ref="B79:C79"/>
    <mergeCell ref="B80:C80"/>
    <mergeCell ref="B77:C77"/>
    <mergeCell ref="B51:C51"/>
    <mergeCell ref="B52:C52"/>
    <mergeCell ref="B53:C53"/>
    <mergeCell ref="B72:G72"/>
    <mergeCell ref="B67:C67"/>
    <mergeCell ref="B66:C66"/>
    <mergeCell ref="B55:F55"/>
    <mergeCell ref="B60:F60"/>
    <mergeCell ref="B56:G56"/>
    <mergeCell ref="B57:C57"/>
    <mergeCell ref="B58:C58"/>
    <mergeCell ref="B65:C65"/>
  </mergeCells>
  <printOptions horizontalCentered="1" verticalCentered="1"/>
  <pageMargins left="0.7" right="0.7" top="0.75" bottom="0.75" header="0.3" footer="0.3"/>
  <pageSetup scale="69" fitToHeight="0" orientation="portrait" horizontalDpi="360" verticalDpi="360" r:id="rId1"/>
  <rowBreaks count="1" manualBreakCount="1">
    <brk id="60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S863"/>
  <sheetViews>
    <sheetView topLeftCell="A822" zoomScale="86" zoomScaleNormal="86" zoomScaleSheetLayoutView="75" workbookViewId="0">
      <selection activeCell="L814" sqref="L814"/>
    </sheetView>
  </sheetViews>
  <sheetFormatPr baseColWidth="10" defaultRowHeight="15.05" x14ac:dyDescent="0.3"/>
  <cols>
    <col min="1" max="1" width="14.109375" customWidth="1"/>
    <col min="2" max="2" width="18.88671875" customWidth="1"/>
    <col min="3" max="3" width="44.5546875" customWidth="1"/>
    <col min="4" max="4" width="16.6640625" customWidth="1"/>
    <col min="5" max="5" width="14.5546875" customWidth="1"/>
    <col min="6" max="6" width="13.33203125" customWidth="1"/>
    <col min="7" max="7" width="20" customWidth="1"/>
    <col min="8" max="8" width="14.5546875" customWidth="1"/>
    <col min="9" max="9" width="19.109375" customWidth="1"/>
    <col min="11" max="11" width="11.88671875" customWidth="1"/>
    <col min="12" max="12" width="8.5546875" bestFit="1" customWidth="1"/>
    <col min="13" max="13" width="9.5546875" bestFit="1" customWidth="1"/>
  </cols>
  <sheetData>
    <row r="1" spans="1:9" ht="28.15" customHeight="1" x14ac:dyDescent="0.3">
      <c r="A1" s="476"/>
      <c r="B1" s="477"/>
      <c r="C1" s="482" t="s">
        <v>2</v>
      </c>
      <c r="D1" s="483"/>
      <c r="E1" s="486" t="s">
        <v>3</v>
      </c>
      <c r="F1" s="487"/>
      <c r="G1" s="488">
        <v>103</v>
      </c>
      <c r="H1" s="488"/>
      <c r="I1" s="489"/>
    </row>
    <row r="2" spans="1:9" ht="17.7" customHeight="1" x14ac:dyDescent="0.3">
      <c r="A2" s="478"/>
      <c r="B2" s="479"/>
      <c r="C2" s="484"/>
      <c r="D2" s="485"/>
      <c r="E2" s="396" t="s">
        <v>4</v>
      </c>
      <c r="F2" s="492"/>
      <c r="G2" s="494">
        <v>51</v>
      </c>
      <c r="H2" s="494"/>
      <c r="I2" s="490"/>
    </row>
    <row r="3" spans="1:9" x14ac:dyDescent="0.3">
      <c r="A3" s="478"/>
      <c r="B3" s="479"/>
      <c r="C3" s="495" t="s">
        <v>5</v>
      </c>
      <c r="D3" s="496"/>
      <c r="E3" s="398"/>
      <c r="F3" s="493"/>
      <c r="G3" s="494"/>
      <c r="H3" s="494"/>
      <c r="I3" s="490"/>
    </row>
    <row r="4" spans="1:9" x14ac:dyDescent="0.3">
      <c r="A4" s="478"/>
      <c r="B4" s="479"/>
      <c r="C4" s="497" t="s">
        <v>6</v>
      </c>
      <c r="D4" s="498"/>
      <c r="E4" s="402" t="s">
        <v>7</v>
      </c>
      <c r="F4" s="499"/>
      <c r="G4" s="494">
        <v>1</v>
      </c>
      <c r="H4" s="494"/>
      <c r="I4" s="490"/>
    </row>
    <row r="5" spans="1:9" ht="14.4" customHeight="1" x14ac:dyDescent="0.3">
      <c r="A5" s="478"/>
      <c r="B5" s="479"/>
      <c r="C5" s="396" t="s">
        <v>8</v>
      </c>
      <c r="D5" s="397"/>
      <c r="E5" s="396" t="s">
        <v>9</v>
      </c>
      <c r="F5" s="492"/>
      <c r="G5" s="503" t="s">
        <v>10</v>
      </c>
      <c r="H5" s="503"/>
      <c r="I5" s="490"/>
    </row>
    <row r="6" spans="1:9" ht="15.75" thickBot="1" x14ac:dyDescent="0.35">
      <c r="A6" s="480"/>
      <c r="B6" s="481"/>
      <c r="C6" s="500"/>
      <c r="D6" s="501"/>
      <c r="E6" s="500"/>
      <c r="F6" s="502"/>
      <c r="G6" s="504">
        <v>44216</v>
      </c>
      <c r="H6" s="504"/>
      <c r="I6" s="491"/>
    </row>
    <row r="7" spans="1:9" ht="15.75" thickBot="1" x14ac:dyDescent="0.35">
      <c r="A7" s="96"/>
      <c r="B7" s="97"/>
      <c r="C7" s="97"/>
      <c r="D7" s="97"/>
      <c r="E7" s="97"/>
      <c r="F7" s="97"/>
      <c r="G7" s="97"/>
      <c r="H7" s="97"/>
      <c r="I7" s="98"/>
    </row>
    <row r="8" spans="1:9" ht="19.649999999999999" customHeight="1" x14ac:dyDescent="0.3">
      <c r="A8" s="470" t="str">
        <f>PRESUPUESTO!A8</f>
        <v>AMPLIACIÓN DE MÓDULOS HABITACIONALES Y ÁREAS COMPLEMENTARIAS PARA CENTRO DE BIENESTAR EL BUEN SAMARITANO Y CENTRO DÍA DE PUERTO COLÓN DEL MUNICIPIO DE SAN MIGUEL, PUTUMAYO.</v>
      </c>
      <c r="B8" s="471"/>
      <c r="C8" s="471"/>
      <c r="D8" s="471"/>
      <c r="E8" s="471"/>
      <c r="F8" s="471"/>
      <c r="G8" s="471"/>
      <c r="H8" s="471"/>
      <c r="I8" s="472"/>
    </row>
    <row r="9" spans="1:9" ht="13.75" customHeight="1" thickBot="1" x14ac:dyDescent="0.35">
      <c r="A9" s="473"/>
      <c r="B9" s="474"/>
      <c r="C9" s="474"/>
      <c r="D9" s="474"/>
      <c r="E9" s="474"/>
      <c r="F9" s="474"/>
      <c r="G9" s="474"/>
      <c r="H9" s="474"/>
      <c r="I9" s="475"/>
    </row>
    <row r="10" spans="1:9" ht="15.75" thickBot="1" x14ac:dyDescent="0.35">
      <c r="A10" s="99"/>
      <c r="B10" s="100"/>
      <c r="C10" s="100"/>
      <c r="D10" s="100"/>
      <c r="E10" s="97"/>
      <c r="F10" s="97"/>
      <c r="G10" s="97"/>
      <c r="H10" s="97"/>
      <c r="I10" s="101"/>
    </row>
    <row r="11" spans="1:9" ht="15.75" thickBot="1" x14ac:dyDescent="0.35">
      <c r="A11" s="102"/>
      <c r="B11" s="102"/>
      <c r="C11" s="102"/>
      <c r="D11" s="102"/>
      <c r="E11" s="102"/>
      <c r="F11" s="102"/>
      <c r="G11" s="102"/>
      <c r="H11" s="102"/>
      <c r="I11" s="102"/>
    </row>
    <row r="12" spans="1:9" ht="15.75" thickBot="1" x14ac:dyDescent="0.35">
      <c r="A12" s="467" t="s">
        <v>71</v>
      </c>
      <c r="B12" s="468"/>
      <c r="C12" s="468"/>
      <c r="D12" s="468"/>
      <c r="E12" s="468"/>
      <c r="F12" s="468"/>
      <c r="G12" s="468"/>
      <c r="H12" s="468"/>
      <c r="I12" s="469"/>
    </row>
    <row r="13" spans="1:9" ht="15.75" thickBot="1" x14ac:dyDescent="0.35">
      <c r="A13" s="103"/>
      <c r="B13" s="103"/>
      <c r="C13" s="103"/>
      <c r="D13" s="103"/>
      <c r="E13" s="103"/>
      <c r="F13" s="103"/>
      <c r="G13" s="103"/>
      <c r="H13" s="103"/>
      <c r="I13" s="103"/>
    </row>
    <row r="14" spans="1:9" ht="15.75" thickBot="1" x14ac:dyDescent="0.35">
      <c r="A14" s="505" t="s">
        <v>234</v>
      </c>
      <c r="B14" s="506"/>
      <c r="C14" s="506"/>
      <c r="D14" s="506"/>
      <c r="E14" s="506"/>
      <c r="F14" s="506"/>
      <c r="G14" s="506"/>
      <c r="H14" s="506"/>
      <c r="I14" s="507"/>
    </row>
    <row r="15" spans="1:9" x14ac:dyDescent="0.3">
      <c r="A15" s="103"/>
      <c r="B15" s="103"/>
      <c r="C15" s="103"/>
      <c r="D15" s="103"/>
      <c r="E15" s="103"/>
      <c r="F15" s="103"/>
      <c r="G15" s="103"/>
      <c r="H15" s="103"/>
      <c r="I15" s="103"/>
    </row>
    <row r="16" spans="1:9" ht="14.4" customHeight="1" x14ac:dyDescent="0.3">
      <c r="A16" s="428" t="s">
        <v>12</v>
      </c>
      <c r="B16" s="428"/>
      <c r="C16" s="429" t="str">
        <f>VLOOKUP(A17,PRESUPUESTO!$A$14:$G$83,2,)</f>
        <v xml:space="preserve">localizacion y replanteo </v>
      </c>
      <c r="D16" s="430"/>
      <c r="E16" s="430"/>
      <c r="F16" s="430"/>
      <c r="G16" s="430"/>
      <c r="H16" s="431"/>
      <c r="I16" s="104" t="s">
        <v>14</v>
      </c>
    </row>
    <row r="17" spans="1:10" x14ac:dyDescent="0.3">
      <c r="A17" s="428">
        <v>1.1000000000000001</v>
      </c>
      <c r="B17" s="428"/>
      <c r="C17" s="432"/>
      <c r="D17" s="433"/>
      <c r="E17" s="433"/>
      <c r="F17" s="433"/>
      <c r="G17" s="433"/>
      <c r="H17" s="434"/>
      <c r="I17" s="104" t="str">
        <f>VLOOKUP(A17,PRESUPUESTO!$A$14:$G$83,4,)</f>
        <v>M2</v>
      </c>
    </row>
    <row r="18" spans="1:10" ht="16.850000000000001" customHeight="1" x14ac:dyDescent="0.3">
      <c r="A18" s="428" t="s">
        <v>13</v>
      </c>
      <c r="B18" s="428"/>
      <c r="C18" s="428"/>
      <c r="D18" s="104" t="s">
        <v>72</v>
      </c>
      <c r="E18" s="104" t="s">
        <v>73</v>
      </c>
      <c r="F18" s="104" t="s">
        <v>76</v>
      </c>
      <c r="G18" s="435" t="s">
        <v>15</v>
      </c>
      <c r="H18" s="436"/>
      <c r="I18" s="104" t="s">
        <v>1</v>
      </c>
      <c r="J18" s="105"/>
    </row>
    <row r="19" spans="1:10" x14ac:dyDescent="0.3">
      <c r="A19" s="422" t="s">
        <v>267</v>
      </c>
      <c r="B19" s="422"/>
      <c r="C19" s="106" t="s">
        <v>486</v>
      </c>
      <c r="D19" s="106">
        <v>12.65</v>
      </c>
      <c r="E19" s="106">
        <v>11.98</v>
      </c>
      <c r="F19" s="106"/>
      <c r="G19" s="423"/>
      <c r="H19" s="424"/>
      <c r="I19" s="107">
        <f>D19*E19</f>
        <v>151.547</v>
      </c>
      <c r="J19" s="108"/>
    </row>
    <row r="20" spans="1:10" x14ac:dyDescent="0.3">
      <c r="A20" s="422" t="s">
        <v>267</v>
      </c>
      <c r="B20" s="422"/>
      <c r="C20" s="106" t="s">
        <v>474</v>
      </c>
      <c r="D20" s="106">
        <v>2.38</v>
      </c>
      <c r="E20" s="106">
        <v>12.65</v>
      </c>
      <c r="F20" s="106"/>
      <c r="G20" s="423"/>
      <c r="H20" s="424"/>
      <c r="I20" s="107">
        <f>D20*E20</f>
        <v>30.106999999999999</v>
      </c>
      <c r="J20" s="108"/>
    </row>
    <row r="21" spans="1:10" x14ac:dyDescent="0.3">
      <c r="A21" s="422"/>
      <c r="B21" s="422"/>
      <c r="C21" s="106"/>
      <c r="D21" s="106"/>
      <c r="E21" s="106"/>
      <c r="F21" s="106"/>
      <c r="G21" s="423"/>
      <c r="H21" s="424"/>
      <c r="I21" s="107"/>
      <c r="J21" s="108"/>
    </row>
    <row r="22" spans="1:10" x14ac:dyDescent="0.3">
      <c r="A22" s="422"/>
      <c r="B22" s="422"/>
      <c r="C22" s="106"/>
      <c r="D22" s="106"/>
      <c r="E22" s="106"/>
      <c r="F22" s="106"/>
      <c r="G22" s="423"/>
      <c r="H22" s="424"/>
      <c r="I22" s="107"/>
      <c r="J22" s="108"/>
    </row>
    <row r="23" spans="1:10" x14ac:dyDescent="0.3">
      <c r="A23" s="422"/>
      <c r="B23" s="422"/>
      <c r="C23" s="106"/>
      <c r="D23" s="106"/>
      <c r="E23" s="106"/>
      <c r="F23" s="106"/>
      <c r="G23" s="423"/>
      <c r="H23" s="424"/>
      <c r="I23" s="107"/>
      <c r="J23" s="108"/>
    </row>
    <row r="24" spans="1:10" x14ac:dyDescent="0.3">
      <c r="A24" s="425" t="s">
        <v>1</v>
      </c>
      <c r="B24" s="426"/>
      <c r="C24" s="426"/>
      <c r="D24" s="426"/>
      <c r="E24" s="426"/>
      <c r="F24" s="426"/>
      <c r="G24" s="426"/>
      <c r="H24" s="427"/>
      <c r="I24" s="109">
        <f>SUM(I19:I23)</f>
        <v>181.654</v>
      </c>
    </row>
    <row r="25" spans="1:10" x14ac:dyDescent="0.3">
      <c r="A25" s="110"/>
      <c r="B25" s="110"/>
      <c r="C25" s="110"/>
      <c r="D25" s="110"/>
      <c r="E25" s="110"/>
      <c r="F25" s="110"/>
      <c r="G25" s="110"/>
      <c r="H25" s="110"/>
      <c r="I25" s="111"/>
    </row>
    <row r="26" spans="1:10" ht="14.25" customHeight="1" x14ac:dyDescent="0.3">
      <c r="A26" s="428" t="s">
        <v>12</v>
      </c>
      <c r="B26" s="428"/>
      <c r="C26" s="429" t="str">
        <f>VLOOKUP(A27,PRESUPUESTO!$A$14:$G$83,2,)</f>
        <v>Excavacion Manual Localizada (incluye retiro)</v>
      </c>
      <c r="D26" s="430"/>
      <c r="E26" s="430"/>
      <c r="F26" s="430"/>
      <c r="G26" s="430"/>
      <c r="H26" s="431"/>
      <c r="I26" s="104" t="s">
        <v>14</v>
      </c>
    </row>
    <row r="27" spans="1:10" x14ac:dyDescent="0.3">
      <c r="A27" s="428">
        <v>2.1</v>
      </c>
      <c r="B27" s="428"/>
      <c r="C27" s="432"/>
      <c r="D27" s="433"/>
      <c r="E27" s="433"/>
      <c r="F27" s="433"/>
      <c r="G27" s="433"/>
      <c r="H27" s="434"/>
      <c r="I27" s="104" t="str">
        <f>VLOOKUP(A27,PRESUPUESTO!$A$14:$G$83,4,)</f>
        <v>M3</v>
      </c>
    </row>
    <row r="28" spans="1:10" ht="16.850000000000001" customHeight="1" x14ac:dyDescent="0.3">
      <c r="A28" s="428" t="s">
        <v>13</v>
      </c>
      <c r="B28" s="428"/>
      <c r="C28" s="428"/>
      <c r="D28" s="104" t="s">
        <v>72</v>
      </c>
      <c r="E28" s="104" t="s">
        <v>73</v>
      </c>
      <c r="F28" s="104" t="s">
        <v>76</v>
      </c>
      <c r="G28" s="435" t="s">
        <v>74</v>
      </c>
      <c r="H28" s="436"/>
      <c r="I28" s="104" t="s">
        <v>1</v>
      </c>
      <c r="J28" s="105"/>
    </row>
    <row r="29" spans="1:10" x14ac:dyDescent="0.3">
      <c r="A29" s="422" t="s">
        <v>268</v>
      </c>
      <c r="B29" s="422"/>
      <c r="C29" s="106" t="s">
        <v>487</v>
      </c>
      <c r="D29" s="106">
        <v>0.4</v>
      </c>
      <c r="E29" s="106">
        <v>12.65</v>
      </c>
      <c r="F29" s="106">
        <v>0.8</v>
      </c>
      <c r="G29" s="423">
        <v>1</v>
      </c>
      <c r="H29" s="424"/>
      <c r="I29" s="107">
        <f t="shared" ref="I29:I39" si="0">D29*E29*F29*G29</f>
        <v>4.0480000000000009</v>
      </c>
      <c r="J29" s="108"/>
    </row>
    <row r="30" spans="1:10" x14ac:dyDescent="0.3">
      <c r="A30" s="422" t="s">
        <v>268</v>
      </c>
      <c r="B30" s="422"/>
      <c r="C30" s="106" t="s">
        <v>488</v>
      </c>
      <c r="D30" s="106">
        <v>0.4</v>
      </c>
      <c r="E30" s="106">
        <v>10.5</v>
      </c>
      <c r="F30" s="106">
        <v>0.8</v>
      </c>
      <c r="G30" s="423">
        <v>1</v>
      </c>
      <c r="H30" s="424"/>
      <c r="I30" s="107">
        <f t="shared" si="0"/>
        <v>3.3600000000000003</v>
      </c>
      <c r="J30" s="108"/>
    </row>
    <row r="31" spans="1:10" x14ac:dyDescent="0.3">
      <c r="A31" s="422" t="s">
        <v>268</v>
      </c>
      <c r="B31" s="422"/>
      <c r="C31" s="106" t="s">
        <v>489</v>
      </c>
      <c r="D31" s="106">
        <v>0.4</v>
      </c>
      <c r="E31" s="106">
        <v>10.5</v>
      </c>
      <c r="F31" s="106">
        <v>0.8</v>
      </c>
      <c r="G31" s="423">
        <v>1</v>
      </c>
      <c r="H31" s="424"/>
      <c r="I31" s="107">
        <f t="shared" si="0"/>
        <v>3.3600000000000003</v>
      </c>
      <c r="J31" s="108"/>
    </row>
    <row r="32" spans="1:10" x14ac:dyDescent="0.3">
      <c r="A32" s="422" t="s">
        <v>268</v>
      </c>
      <c r="B32" s="422"/>
      <c r="C32" s="106" t="s">
        <v>490</v>
      </c>
      <c r="D32" s="106">
        <v>0.4</v>
      </c>
      <c r="E32" s="106">
        <v>12.65</v>
      </c>
      <c r="F32" s="106">
        <v>0.8</v>
      </c>
      <c r="G32" s="423">
        <v>1</v>
      </c>
      <c r="H32" s="424"/>
      <c r="I32" s="107">
        <f t="shared" si="0"/>
        <v>4.0480000000000009</v>
      </c>
      <c r="J32" s="108"/>
    </row>
    <row r="33" spans="1:10" x14ac:dyDescent="0.3">
      <c r="A33" s="422" t="s">
        <v>268</v>
      </c>
      <c r="B33" s="422"/>
      <c r="C33" s="106" t="s">
        <v>491</v>
      </c>
      <c r="D33" s="106">
        <v>0.4</v>
      </c>
      <c r="E33" s="106">
        <v>11.98</v>
      </c>
      <c r="F33" s="106">
        <v>0.8</v>
      </c>
      <c r="G33" s="423">
        <v>1</v>
      </c>
      <c r="H33" s="424"/>
      <c r="I33" s="107">
        <f t="shared" si="0"/>
        <v>3.8336000000000006</v>
      </c>
      <c r="J33" s="108"/>
    </row>
    <row r="34" spans="1:10" x14ac:dyDescent="0.3">
      <c r="A34" s="422" t="s">
        <v>268</v>
      </c>
      <c r="B34" s="422"/>
      <c r="C34" s="106" t="s">
        <v>493</v>
      </c>
      <c r="D34" s="106">
        <v>0.4</v>
      </c>
      <c r="E34" s="106">
        <v>11.98</v>
      </c>
      <c r="F34" s="106">
        <v>0.8</v>
      </c>
      <c r="G34" s="423">
        <v>1</v>
      </c>
      <c r="H34" s="424"/>
      <c r="I34" s="107">
        <f t="shared" si="0"/>
        <v>3.8336000000000006</v>
      </c>
      <c r="J34" s="108"/>
    </row>
    <row r="35" spans="1:10" x14ac:dyDescent="0.3">
      <c r="A35" s="422" t="s">
        <v>268</v>
      </c>
      <c r="B35" s="422"/>
      <c r="C35" s="106" t="s">
        <v>492</v>
      </c>
      <c r="D35" s="106">
        <v>0.4</v>
      </c>
      <c r="E35" s="106">
        <v>11.98</v>
      </c>
      <c r="F35" s="106">
        <v>0.8</v>
      </c>
      <c r="G35" s="423">
        <v>1</v>
      </c>
      <c r="H35" s="424"/>
      <c r="I35" s="107">
        <f t="shared" si="0"/>
        <v>3.8336000000000006</v>
      </c>
      <c r="J35" s="108"/>
    </row>
    <row r="36" spans="1:10" x14ac:dyDescent="0.3">
      <c r="A36" s="422" t="s">
        <v>268</v>
      </c>
      <c r="B36" s="422"/>
      <c r="C36" s="106" t="s">
        <v>494</v>
      </c>
      <c r="D36" s="106">
        <v>0.4</v>
      </c>
      <c r="E36" s="106">
        <v>6.8</v>
      </c>
      <c r="F36" s="106">
        <v>0.8</v>
      </c>
      <c r="G36" s="423">
        <v>1</v>
      </c>
      <c r="H36" s="424"/>
      <c r="I36" s="107">
        <f t="shared" si="0"/>
        <v>2.1760000000000002</v>
      </c>
      <c r="J36" s="108"/>
    </row>
    <row r="37" spans="1:10" x14ac:dyDescent="0.3">
      <c r="A37" s="422" t="s">
        <v>268</v>
      </c>
      <c r="B37" s="422"/>
      <c r="C37" s="106" t="s">
        <v>495</v>
      </c>
      <c r="D37" s="106">
        <v>0.4</v>
      </c>
      <c r="E37" s="106">
        <v>2.2999999999999998</v>
      </c>
      <c r="F37" s="106">
        <v>0.8</v>
      </c>
      <c r="G37" s="423">
        <v>1</v>
      </c>
      <c r="H37" s="424"/>
      <c r="I37" s="107">
        <f t="shared" si="0"/>
        <v>0.73599999999999999</v>
      </c>
      <c r="J37" s="108"/>
    </row>
    <row r="38" spans="1:10" x14ac:dyDescent="0.3">
      <c r="A38" s="422" t="s">
        <v>268</v>
      </c>
      <c r="B38" s="422"/>
      <c r="C38" s="106" t="s">
        <v>496</v>
      </c>
      <c r="D38" s="106">
        <v>0.4</v>
      </c>
      <c r="E38" s="106">
        <v>2.2999999999999998</v>
      </c>
      <c r="F38" s="106">
        <v>0.8</v>
      </c>
      <c r="G38" s="423">
        <v>1</v>
      </c>
      <c r="H38" s="424"/>
      <c r="I38" s="107">
        <f t="shared" si="0"/>
        <v>0.73599999999999999</v>
      </c>
      <c r="J38" s="108"/>
    </row>
    <row r="39" spans="1:10" x14ac:dyDescent="0.3">
      <c r="A39" s="422" t="s">
        <v>268</v>
      </c>
      <c r="B39" s="422"/>
      <c r="C39" s="106" t="s">
        <v>497</v>
      </c>
      <c r="D39" s="106">
        <v>0.4</v>
      </c>
      <c r="E39" s="106">
        <v>6</v>
      </c>
      <c r="F39" s="106">
        <v>0.8</v>
      </c>
      <c r="G39" s="423">
        <v>1</v>
      </c>
      <c r="H39" s="424"/>
      <c r="I39" s="107">
        <f t="shared" si="0"/>
        <v>1.9200000000000004</v>
      </c>
      <c r="J39" s="108"/>
    </row>
    <row r="40" spans="1:10" x14ac:dyDescent="0.3">
      <c r="A40" s="422" t="s">
        <v>268</v>
      </c>
      <c r="B40" s="422"/>
      <c r="C40" s="106" t="s">
        <v>498</v>
      </c>
      <c r="D40" s="106">
        <v>0.4</v>
      </c>
      <c r="E40" s="106">
        <v>2.2999999999999998</v>
      </c>
      <c r="F40" s="106">
        <v>0.8</v>
      </c>
      <c r="G40" s="423">
        <v>1</v>
      </c>
      <c r="H40" s="424"/>
      <c r="I40" s="107">
        <f t="shared" ref="I40:I42" si="1">D40*E40*F40*G40</f>
        <v>0.73599999999999999</v>
      </c>
      <c r="J40" s="108"/>
    </row>
    <row r="41" spans="1:10" x14ac:dyDescent="0.3">
      <c r="A41" s="422" t="s">
        <v>268</v>
      </c>
      <c r="B41" s="422"/>
      <c r="C41" s="106" t="s">
        <v>499</v>
      </c>
      <c r="D41" s="106">
        <v>0.4</v>
      </c>
      <c r="E41" s="106">
        <v>2.2999999999999998</v>
      </c>
      <c r="F41" s="106">
        <v>0.8</v>
      </c>
      <c r="G41" s="423">
        <v>1</v>
      </c>
      <c r="H41" s="424"/>
      <c r="I41" s="107">
        <f t="shared" si="1"/>
        <v>0.73599999999999999</v>
      </c>
      <c r="J41" s="108"/>
    </row>
    <row r="42" spans="1:10" x14ac:dyDescent="0.3">
      <c r="A42" s="422" t="s">
        <v>268</v>
      </c>
      <c r="B42" s="422"/>
      <c r="C42" s="106" t="s">
        <v>500</v>
      </c>
      <c r="D42" s="106">
        <v>0.4</v>
      </c>
      <c r="E42" s="106">
        <v>2.2999999999999998</v>
      </c>
      <c r="F42" s="106">
        <v>0.8</v>
      </c>
      <c r="G42" s="423">
        <v>1</v>
      </c>
      <c r="H42" s="424"/>
      <c r="I42" s="107">
        <f t="shared" si="1"/>
        <v>0.73599999999999999</v>
      </c>
      <c r="J42" s="108"/>
    </row>
    <row r="43" spans="1:10" x14ac:dyDescent="0.3">
      <c r="A43" s="422" t="s">
        <v>268</v>
      </c>
      <c r="B43" s="422"/>
      <c r="C43" s="106" t="s">
        <v>501</v>
      </c>
      <c r="D43" s="106">
        <v>0.4</v>
      </c>
      <c r="E43" s="106">
        <v>2.5</v>
      </c>
      <c r="F43" s="106">
        <v>0.8</v>
      </c>
      <c r="G43" s="423">
        <v>2</v>
      </c>
      <c r="H43" s="424"/>
      <c r="I43" s="107">
        <f t="shared" ref="I43:I44" si="2">D43*E43*F43*G43</f>
        <v>1.6</v>
      </c>
      <c r="J43" s="108"/>
    </row>
    <row r="44" spans="1:10" x14ac:dyDescent="0.3">
      <c r="A44" s="422" t="s">
        <v>268</v>
      </c>
      <c r="B44" s="422"/>
      <c r="C44" s="106" t="s">
        <v>502</v>
      </c>
      <c r="D44" s="106">
        <v>0.4</v>
      </c>
      <c r="E44" s="106">
        <v>12.65</v>
      </c>
      <c r="F44" s="106">
        <v>0.8</v>
      </c>
      <c r="G44" s="423">
        <v>1</v>
      </c>
      <c r="H44" s="424"/>
      <c r="I44" s="107">
        <f t="shared" si="2"/>
        <v>4.0480000000000009</v>
      </c>
      <c r="J44" s="108"/>
    </row>
    <row r="45" spans="1:10" x14ac:dyDescent="0.3">
      <c r="A45" s="422"/>
      <c r="B45" s="422"/>
      <c r="C45" s="106"/>
      <c r="D45" s="106"/>
      <c r="E45" s="106"/>
      <c r="F45" s="106"/>
      <c r="G45" s="423"/>
      <c r="H45" s="424"/>
      <c r="I45" s="107"/>
      <c r="J45" s="108"/>
    </row>
    <row r="46" spans="1:10" x14ac:dyDescent="0.3">
      <c r="A46" s="425" t="s">
        <v>1</v>
      </c>
      <c r="B46" s="426"/>
      <c r="C46" s="426"/>
      <c r="D46" s="426"/>
      <c r="E46" s="426"/>
      <c r="F46" s="426"/>
      <c r="G46" s="426"/>
      <c r="H46" s="427"/>
      <c r="I46" s="109">
        <f>SUM(I29:I45)</f>
        <v>39.7408</v>
      </c>
    </row>
    <row r="47" spans="1:10" x14ac:dyDescent="0.3">
      <c r="A47" s="110"/>
      <c r="B47" s="110"/>
      <c r="C47" s="110"/>
      <c r="D47" s="110"/>
      <c r="E47" s="110"/>
      <c r="F47" s="110"/>
      <c r="G47" s="110"/>
      <c r="H47" s="110"/>
      <c r="I47" s="111"/>
    </row>
    <row r="48" spans="1:10" ht="14.4" customHeight="1" x14ac:dyDescent="0.3">
      <c r="A48" s="428" t="s">
        <v>12</v>
      </c>
      <c r="B48" s="428"/>
      <c r="C48" s="429" t="str">
        <f>VLOOKUP(A49,PRESUPUESTO!$A$14:$G$83,2,)</f>
        <v xml:space="preserve">Suministro, instalacion y compactacion de material  seleccionado </v>
      </c>
      <c r="D48" s="430"/>
      <c r="E48" s="430"/>
      <c r="F48" s="430"/>
      <c r="G48" s="430"/>
      <c r="H48" s="431"/>
      <c r="I48" s="104" t="s">
        <v>14</v>
      </c>
    </row>
    <row r="49" spans="1:10" x14ac:dyDescent="0.3">
      <c r="A49" s="428">
        <v>2.2000000000000002</v>
      </c>
      <c r="B49" s="428"/>
      <c r="C49" s="432"/>
      <c r="D49" s="433"/>
      <c r="E49" s="433"/>
      <c r="F49" s="433"/>
      <c r="G49" s="433"/>
      <c r="H49" s="434"/>
      <c r="I49" s="104" t="str">
        <f>VLOOKUP(A49,PRESUPUESTO!$A$14:$G$83,4,)</f>
        <v>M3</v>
      </c>
    </row>
    <row r="50" spans="1:10" ht="16.850000000000001" customHeight="1" x14ac:dyDescent="0.3">
      <c r="A50" s="428" t="s">
        <v>13</v>
      </c>
      <c r="B50" s="428"/>
      <c r="C50" s="428"/>
      <c r="D50" s="104" t="s">
        <v>72</v>
      </c>
      <c r="E50" s="104" t="s">
        <v>75</v>
      </c>
      <c r="F50" s="104" t="s">
        <v>76</v>
      </c>
      <c r="G50" s="435" t="s">
        <v>74</v>
      </c>
      <c r="H50" s="436"/>
      <c r="I50" s="104" t="s">
        <v>1</v>
      </c>
      <c r="J50" s="105"/>
    </row>
    <row r="51" spans="1:10" x14ac:dyDescent="0.3">
      <c r="A51" s="422" t="s">
        <v>267</v>
      </c>
      <c r="B51" s="422"/>
      <c r="C51" s="106" t="s">
        <v>473</v>
      </c>
      <c r="D51" s="106">
        <v>12.65</v>
      </c>
      <c r="E51" s="106">
        <v>11.98</v>
      </c>
      <c r="F51" s="106">
        <v>0.35</v>
      </c>
      <c r="G51" s="423">
        <v>1</v>
      </c>
      <c r="H51" s="424"/>
      <c r="I51" s="107">
        <f>D51*E51*F51*G51</f>
        <v>53.041449999999998</v>
      </c>
      <c r="J51" s="108"/>
    </row>
    <row r="52" spans="1:10" x14ac:dyDescent="0.3">
      <c r="A52" s="422" t="s">
        <v>267</v>
      </c>
      <c r="B52" s="422"/>
      <c r="C52" s="106" t="s">
        <v>474</v>
      </c>
      <c r="D52" s="106">
        <v>2.5</v>
      </c>
      <c r="E52" s="106">
        <v>12.65</v>
      </c>
      <c r="F52" s="106">
        <v>0.35</v>
      </c>
      <c r="G52" s="423">
        <v>1</v>
      </c>
      <c r="H52" s="424"/>
      <c r="I52" s="107">
        <f>D52*E52*F52*G52</f>
        <v>11.06875</v>
      </c>
      <c r="J52" s="108"/>
    </row>
    <row r="53" spans="1:10" x14ac:dyDescent="0.3">
      <c r="A53" s="422"/>
      <c r="B53" s="422"/>
      <c r="C53" s="112"/>
      <c r="D53" s="106"/>
      <c r="E53" s="106"/>
      <c r="F53" s="106"/>
      <c r="G53" s="423"/>
      <c r="H53" s="424"/>
      <c r="I53" s="107"/>
      <c r="J53" s="108"/>
    </row>
    <row r="54" spans="1:10" x14ac:dyDescent="0.3">
      <c r="A54" s="422"/>
      <c r="B54" s="422"/>
      <c r="C54" s="112"/>
      <c r="D54" s="106"/>
      <c r="E54" s="106"/>
      <c r="F54" s="106"/>
      <c r="G54" s="423"/>
      <c r="H54" s="424"/>
      <c r="I54" s="107"/>
      <c r="J54" s="108"/>
    </row>
    <row r="55" spans="1:10" x14ac:dyDescent="0.3">
      <c r="A55" s="422"/>
      <c r="B55" s="422"/>
      <c r="C55" s="112"/>
      <c r="D55" s="106"/>
      <c r="E55" s="106"/>
      <c r="F55" s="106"/>
      <c r="G55" s="423"/>
      <c r="H55" s="424"/>
      <c r="I55" s="107"/>
      <c r="J55" s="108"/>
    </row>
    <row r="56" spans="1:10" x14ac:dyDescent="0.3">
      <c r="A56" s="422"/>
      <c r="B56" s="422"/>
      <c r="C56" s="112"/>
      <c r="D56" s="106"/>
      <c r="E56" s="106"/>
      <c r="F56" s="106"/>
      <c r="G56" s="423"/>
      <c r="H56" s="424"/>
      <c r="I56" s="107"/>
      <c r="J56" s="108"/>
    </row>
    <row r="57" spans="1:10" x14ac:dyDescent="0.3">
      <c r="A57" s="425" t="s">
        <v>1</v>
      </c>
      <c r="B57" s="426"/>
      <c r="C57" s="426"/>
      <c r="D57" s="426"/>
      <c r="E57" s="426"/>
      <c r="F57" s="426"/>
      <c r="G57" s="426"/>
      <c r="H57" s="427"/>
      <c r="I57" s="109">
        <f>SUM(I51:I56)</f>
        <v>64.110199999999992</v>
      </c>
    </row>
    <row r="58" spans="1:10" x14ac:dyDescent="0.3">
      <c r="A58" s="110"/>
      <c r="B58" s="110"/>
      <c r="C58" s="110"/>
      <c r="D58" s="110"/>
      <c r="E58" s="110"/>
      <c r="F58" s="110"/>
      <c r="G58" s="110"/>
      <c r="H58" s="110"/>
      <c r="I58" s="111"/>
    </row>
    <row r="59" spans="1:10" ht="14.4" customHeight="1" x14ac:dyDescent="0.3">
      <c r="A59" s="428" t="s">
        <v>12</v>
      </c>
      <c r="B59" s="428"/>
      <c r="C59" s="429" t="str">
        <f>VLOOKUP(A60,PRESUPUESTO!$A$14:$G$83,2,)</f>
        <v>Viga de cimentacion de (30x35cm) en concreto 3000 PSI</v>
      </c>
      <c r="D59" s="430"/>
      <c r="E59" s="430"/>
      <c r="F59" s="430"/>
      <c r="G59" s="430"/>
      <c r="H59" s="431"/>
      <c r="I59" s="104" t="s">
        <v>14</v>
      </c>
    </row>
    <row r="60" spans="1:10" x14ac:dyDescent="0.3">
      <c r="A60" s="428">
        <v>3.1</v>
      </c>
      <c r="B60" s="428"/>
      <c r="C60" s="432"/>
      <c r="D60" s="433"/>
      <c r="E60" s="433"/>
      <c r="F60" s="433"/>
      <c r="G60" s="433"/>
      <c r="H60" s="434"/>
      <c r="I60" s="104" t="str">
        <f>VLOOKUP(A60,PRESUPUESTO!$A$14:$G$83,4,)</f>
        <v>ML</v>
      </c>
    </row>
    <row r="61" spans="1:10" ht="16.850000000000001" customHeight="1" x14ac:dyDescent="0.3">
      <c r="A61" s="428" t="s">
        <v>13</v>
      </c>
      <c r="B61" s="428"/>
      <c r="C61" s="428"/>
      <c r="D61" s="104" t="s">
        <v>72</v>
      </c>
      <c r="E61" s="104" t="s">
        <v>75</v>
      </c>
      <c r="F61" s="104" t="s">
        <v>76</v>
      </c>
      <c r="G61" s="435" t="s">
        <v>74</v>
      </c>
      <c r="H61" s="436"/>
      <c r="I61" s="104" t="s">
        <v>1</v>
      </c>
      <c r="J61" s="105"/>
    </row>
    <row r="62" spans="1:10" x14ac:dyDescent="0.3">
      <c r="A62" s="422" t="s">
        <v>270</v>
      </c>
      <c r="B62" s="422"/>
      <c r="C62" s="106" t="s">
        <v>503</v>
      </c>
      <c r="D62" s="106"/>
      <c r="E62" s="106">
        <v>12.65</v>
      </c>
      <c r="F62" s="106"/>
      <c r="G62" s="423">
        <v>1</v>
      </c>
      <c r="H62" s="424"/>
      <c r="I62" s="107">
        <f t="shared" ref="I62:I75" si="3">E62*G62</f>
        <v>12.65</v>
      </c>
      <c r="J62" s="108"/>
    </row>
    <row r="63" spans="1:10" x14ac:dyDescent="0.3">
      <c r="A63" s="422" t="s">
        <v>270</v>
      </c>
      <c r="B63" s="422"/>
      <c r="C63" s="106" t="s">
        <v>504</v>
      </c>
      <c r="D63" s="106"/>
      <c r="E63" s="106">
        <v>10.5</v>
      </c>
      <c r="F63" s="106"/>
      <c r="G63" s="423">
        <v>1</v>
      </c>
      <c r="H63" s="424"/>
      <c r="I63" s="107">
        <f t="shared" si="3"/>
        <v>10.5</v>
      </c>
      <c r="J63" s="108"/>
    </row>
    <row r="64" spans="1:10" x14ac:dyDescent="0.3">
      <c r="A64" s="422" t="s">
        <v>270</v>
      </c>
      <c r="B64" s="422"/>
      <c r="C64" s="106" t="s">
        <v>505</v>
      </c>
      <c r="D64" s="106"/>
      <c r="E64" s="106">
        <v>10.5</v>
      </c>
      <c r="F64" s="106"/>
      <c r="G64" s="423">
        <v>1</v>
      </c>
      <c r="H64" s="424"/>
      <c r="I64" s="107">
        <f t="shared" si="3"/>
        <v>10.5</v>
      </c>
      <c r="J64" s="108"/>
    </row>
    <row r="65" spans="1:10" x14ac:dyDescent="0.3">
      <c r="A65" s="422" t="s">
        <v>270</v>
      </c>
      <c r="B65" s="422"/>
      <c r="C65" s="106" t="s">
        <v>506</v>
      </c>
      <c r="D65" s="106"/>
      <c r="E65" s="106">
        <v>12.65</v>
      </c>
      <c r="F65" s="106"/>
      <c r="G65" s="423">
        <v>1</v>
      </c>
      <c r="H65" s="424"/>
      <c r="I65" s="107">
        <f t="shared" si="3"/>
        <v>12.65</v>
      </c>
      <c r="J65" s="108"/>
    </row>
    <row r="66" spans="1:10" x14ac:dyDescent="0.3">
      <c r="A66" s="422" t="s">
        <v>270</v>
      </c>
      <c r="B66" s="422"/>
      <c r="C66" s="106" t="s">
        <v>507</v>
      </c>
      <c r="D66" s="106"/>
      <c r="E66" s="106">
        <v>11.98</v>
      </c>
      <c r="F66" s="106"/>
      <c r="G66" s="423">
        <v>1</v>
      </c>
      <c r="H66" s="424"/>
      <c r="I66" s="107">
        <f t="shared" si="3"/>
        <v>11.98</v>
      </c>
      <c r="J66" s="108"/>
    </row>
    <row r="67" spans="1:10" x14ac:dyDescent="0.3">
      <c r="A67" s="422" t="s">
        <v>270</v>
      </c>
      <c r="B67" s="422"/>
      <c r="C67" s="106" t="s">
        <v>508</v>
      </c>
      <c r="D67" s="106"/>
      <c r="E67" s="106">
        <v>11.98</v>
      </c>
      <c r="F67" s="106"/>
      <c r="G67" s="423">
        <v>1</v>
      </c>
      <c r="H67" s="424"/>
      <c r="I67" s="107">
        <f t="shared" si="3"/>
        <v>11.98</v>
      </c>
      <c r="J67" s="108"/>
    </row>
    <row r="68" spans="1:10" x14ac:dyDescent="0.3">
      <c r="A68" s="422" t="s">
        <v>270</v>
      </c>
      <c r="B68" s="422"/>
      <c r="C68" s="106" t="s">
        <v>509</v>
      </c>
      <c r="D68" s="106"/>
      <c r="E68" s="106">
        <v>11.98</v>
      </c>
      <c r="F68" s="106"/>
      <c r="G68" s="423">
        <v>1</v>
      </c>
      <c r="H68" s="424"/>
      <c r="I68" s="107">
        <f t="shared" si="3"/>
        <v>11.98</v>
      </c>
      <c r="J68" s="108"/>
    </row>
    <row r="69" spans="1:10" x14ac:dyDescent="0.3">
      <c r="A69" s="422" t="s">
        <v>270</v>
      </c>
      <c r="B69" s="422"/>
      <c r="C69" s="106" t="s">
        <v>510</v>
      </c>
      <c r="D69" s="106"/>
      <c r="E69" s="106">
        <v>6.8</v>
      </c>
      <c r="F69" s="106"/>
      <c r="G69" s="423">
        <v>1</v>
      </c>
      <c r="H69" s="424"/>
      <c r="I69" s="107">
        <f t="shared" si="3"/>
        <v>6.8</v>
      </c>
      <c r="J69" s="108"/>
    </row>
    <row r="70" spans="1:10" x14ac:dyDescent="0.3">
      <c r="A70" s="422" t="s">
        <v>270</v>
      </c>
      <c r="B70" s="422"/>
      <c r="C70" s="106" t="s">
        <v>511</v>
      </c>
      <c r="D70" s="106"/>
      <c r="E70" s="106">
        <v>2.2999999999999998</v>
      </c>
      <c r="F70" s="106"/>
      <c r="G70" s="423">
        <v>1</v>
      </c>
      <c r="H70" s="424"/>
      <c r="I70" s="107">
        <f t="shared" si="3"/>
        <v>2.2999999999999998</v>
      </c>
      <c r="J70" s="108"/>
    </row>
    <row r="71" spans="1:10" x14ac:dyDescent="0.3">
      <c r="A71" s="422" t="s">
        <v>270</v>
      </c>
      <c r="B71" s="422"/>
      <c r="C71" s="106" t="s">
        <v>512</v>
      </c>
      <c r="D71" s="106"/>
      <c r="E71" s="106">
        <v>2.2999999999999998</v>
      </c>
      <c r="F71" s="106"/>
      <c r="G71" s="423">
        <v>1</v>
      </c>
      <c r="H71" s="424"/>
      <c r="I71" s="107">
        <f t="shared" si="3"/>
        <v>2.2999999999999998</v>
      </c>
      <c r="J71" s="108"/>
    </row>
    <row r="72" spans="1:10" x14ac:dyDescent="0.3">
      <c r="A72" s="422" t="s">
        <v>270</v>
      </c>
      <c r="B72" s="422"/>
      <c r="C72" s="106" t="s">
        <v>513</v>
      </c>
      <c r="D72" s="106"/>
      <c r="E72" s="106">
        <v>6</v>
      </c>
      <c r="F72" s="106"/>
      <c r="G72" s="423">
        <v>1</v>
      </c>
      <c r="H72" s="424"/>
      <c r="I72" s="107">
        <f t="shared" si="3"/>
        <v>6</v>
      </c>
      <c r="J72" s="108"/>
    </row>
    <row r="73" spans="1:10" x14ac:dyDescent="0.3">
      <c r="A73" s="422" t="s">
        <v>270</v>
      </c>
      <c r="B73" s="422"/>
      <c r="C73" s="106" t="s">
        <v>514</v>
      </c>
      <c r="D73" s="106"/>
      <c r="E73" s="106">
        <v>2.2999999999999998</v>
      </c>
      <c r="F73" s="106"/>
      <c r="G73" s="423">
        <v>1</v>
      </c>
      <c r="H73" s="424"/>
      <c r="I73" s="107">
        <f t="shared" si="3"/>
        <v>2.2999999999999998</v>
      </c>
      <c r="J73" s="108"/>
    </row>
    <row r="74" spans="1:10" x14ac:dyDescent="0.3">
      <c r="A74" s="422" t="s">
        <v>270</v>
      </c>
      <c r="B74" s="422"/>
      <c r="C74" s="106" t="s">
        <v>515</v>
      </c>
      <c r="D74" s="106"/>
      <c r="E74" s="106">
        <v>2.2999999999999998</v>
      </c>
      <c r="F74" s="106"/>
      <c r="G74" s="423">
        <v>1</v>
      </c>
      <c r="H74" s="424"/>
      <c r="I74" s="107">
        <f t="shared" si="3"/>
        <v>2.2999999999999998</v>
      </c>
      <c r="J74" s="108"/>
    </row>
    <row r="75" spans="1:10" x14ac:dyDescent="0.3">
      <c r="A75" s="422" t="s">
        <v>270</v>
      </c>
      <c r="B75" s="422"/>
      <c r="C75" s="106" t="s">
        <v>516</v>
      </c>
      <c r="D75" s="106"/>
      <c r="E75" s="106">
        <v>2.2999999999999998</v>
      </c>
      <c r="F75" s="106"/>
      <c r="G75" s="423">
        <v>1</v>
      </c>
      <c r="H75" s="424"/>
      <c r="I75" s="107">
        <f t="shared" si="3"/>
        <v>2.2999999999999998</v>
      </c>
      <c r="J75" s="108"/>
    </row>
    <row r="76" spans="1:10" x14ac:dyDescent="0.3">
      <c r="A76" s="422"/>
      <c r="B76" s="422"/>
      <c r="C76" s="106"/>
      <c r="D76" s="106"/>
      <c r="E76" s="106"/>
      <c r="F76" s="106"/>
      <c r="G76" s="423"/>
      <c r="H76" s="424"/>
      <c r="I76" s="107"/>
      <c r="J76" s="108"/>
    </row>
    <row r="77" spans="1:10" x14ac:dyDescent="0.3">
      <c r="A77" s="422"/>
      <c r="B77" s="422"/>
      <c r="C77" s="106"/>
      <c r="D77" s="106"/>
      <c r="E77" s="106"/>
      <c r="F77" s="106"/>
      <c r="G77" s="423"/>
      <c r="H77" s="424"/>
      <c r="I77" s="107"/>
      <c r="J77" s="108"/>
    </row>
    <row r="78" spans="1:10" x14ac:dyDescent="0.3">
      <c r="A78" s="422"/>
      <c r="B78" s="422"/>
      <c r="C78" s="112"/>
      <c r="D78" s="106"/>
      <c r="E78" s="106"/>
      <c r="F78" s="106"/>
      <c r="G78" s="423"/>
      <c r="H78" s="424"/>
      <c r="I78" s="107"/>
      <c r="J78" s="108"/>
    </row>
    <row r="79" spans="1:10" x14ac:dyDescent="0.3">
      <c r="A79" s="425" t="s">
        <v>1</v>
      </c>
      <c r="B79" s="426"/>
      <c r="C79" s="426"/>
      <c r="D79" s="426"/>
      <c r="E79" s="426"/>
      <c r="F79" s="426"/>
      <c r="G79" s="426"/>
      <c r="H79" s="427"/>
      <c r="I79" s="109">
        <f>SUM(I62:I78)</f>
        <v>106.53999999999999</v>
      </c>
    </row>
    <row r="80" spans="1:10" x14ac:dyDescent="0.3">
      <c r="A80" s="110"/>
      <c r="B80" s="110"/>
      <c r="C80" s="110"/>
      <c r="D80" s="110"/>
      <c r="E80" s="110"/>
      <c r="F80" s="110"/>
      <c r="G80" s="110"/>
      <c r="H80" s="110"/>
      <c r="I80" s="111"/>
    </row>
    <row r="81" spans="1:10" ht="14.4" customHeight="1" x14ac:dyDescent="0.3">
      <c r="A81" s="428" t="s">
        <v>12</v>
      </c>
      <c r="B81" s="428"/>
      <c r="C81" s="429" t="str">
        <f>VLOOKUP(A82,PRESUPUESTO!$A$14:$G$83,2,)</f>
        <v>Vigas de corona de (12x20cm ) en concreto de 3000 PSI</v>
      </c>
      <c r="D81" s="430"/>
      <c r="E81" s="430"/>
      <c r="F81" s="430"/>
      <c r="G81" s="430"/>
      <c r="H81" s="431"/>
      <c r="I81" s="104" t="s">
        <v>14</v>
      </c>
    </row>
    <row r="82" spans="1:10" x14ac:dyDescent="0.3">
      <c r="A82" s="428">
        <v>3.2</v>
      </c>
      <c r="B82" s="428"/>
      <c r="C82" s="432"/>
      <c r="D82" s="433"/>
      <c r="E82" s="433"/>
      <c r="F82" s="433"/>
      <c r="G82" s="433"/>
      <c r="H82" s="434"/>
      <c r="I82" s="104" t="str">
        <f>VLOOKUP(A82,PRESUPUESTO!$A$14:$G$83,4,)</f>
        <v>ML</v>
      </c>
    </row>
    <row r="83" spans="1:10" ht="16.850000000000001" customHeight="1" x14ac:dyDescent="0.3">
      <c r="A83" s="428" t="s">
        <v>13</v>
      </c>
      <c r="B83" s="428"/>
      <c r="C83" s="428"/>
      <c r="D83" s="104" t="s">
        <v>72</v>
      </c>
      <c r="E83" s="104" t="s">
        <v>75</v>
      </c>
      <c r="F83" s="104" t="s">
        <v>76</v>
      </c>
      <c r="G83" s="435" t="s">
        <v>74</v>
      </c>
      <c r="H83" s="436"/>
      <c r="I83" s="104" t="s">
        <v>1</v>
      </c>
      <c r="J83" s="105"/>
    </row>
    <row r="84" spans="1:10" x14ac:dyDescent="0.3">
      <c r="A84" s="422" t="s">
        <v>475</v>
      </c>
      <c r="B84" s="422"/>
      <c r="C84" s="106" t="s">
        <v>503</v>
      </c>
      <c r="D84" s="106"/>
      <c r="E84" s="106">
        <v>12.65</v>
      </c>
      <c r="F84" s="106"/>
      <c r="G84" s="423">
        <v>1</v>
      </c>
      <c r="H84" s="424"/>
      <c r="I84" s="107">
        <f>E84*G84</f>
        <v>12.65</v>
      </c>
      <c r="J84" s="108"/>
    </row>
    <row r="85" spans="1:10" x14ac:dyDescent="0.3">
      <c r="A85" s="422" t="s">
        <v>475</v>
      </c>
      <c r="B85" s="422"/>
      <c r="C85" s="106" t="s">
        <v>504</v>
      </c>
      <c r="D85" s="106"/>
      <c r="E85" s="106">
        <v>10.5</v>
      </c>
      <c r="F85" s="106"/>
      <c r="G85" s="423">
        <v>1</v>
      </c>
      <c r="H85" s="424"/>
      <c r="I85" s="107">
        <f t="shared" ref="I85:I87" si="4">E85*G85</f>
        <v>10.5</v>
      </c>
      <c r="J85" s="108"/>
    </row>
    <row r="86" spans="1:10" x14ac:dyDescent="0.3">
      <c r="A86" s="422" t="s">
        <v>475</v>
      </c>
      <c r="B86" s="422"/>
      <c r="C86" s="106" t="s">
        <v>505</v>
      </c>
      <c r="D86" s="106"/>
      <c r="E86" s="106">
        <v>10.5</v>
      </c>
      <c r="F86" s="106"/>
      <c r="G86" s="423">
        <v>1</v>
      </c>
      <c r="H86" s="424"/>
      <c r="I86" s="107">
        <f t="shared" si="4"/>
        <v>10.5</v>
      </c>
      <c r="J86" s="108"/>
    </row>
    <row r="87" spans="1:10" x14ac:dyDescent="0.3">
      <c r="A87" s="422" t="s">
        <v>475</v>
      </c>
      <c r="B87" s="422"/>
      <c r="C87" s="106" t="s">
        <v>506</v>
      </c>
      <c r="D87" s="106"/>
      <c r="E87" s="106">
        <v>12.65</v>
      </c>
      <c r="F87" s="106"/>
      <c r="G87" s="423">
        <v>1</v>
      </c>
      <c r="H87" s="424"/>
      <c r="I87" s="107">
        <f t="shared" si="4"/>
        <v>12.65</v>
      </c>
      <c r="J87" s="108"/>
    </row>
    <row r="88" spans="1:10" x14ac:dyDescent="0.3">
      <c r="A88" s="422" t="s">
        <v>475</v>
      </c>
      <c r="B88" s="422"/>
      <c r="C88" s="106" t="s">
        <v>507</v>
      </c>
      <c r="D88" s="106"/>
      <c r="E88" s="106">
        <f>0.5+11.98</f>
        <v>12.48</v>
      </c>
      <c r="F88" s="106"/>
      <c r="G88" s="423">
        <v>1</v>
      </c>
      <c r="H88" s="424"/>
      <c r="I88" s="107">
        <f>E88*G88</f>
        <v>12.48</v>
      </c>
      <c r="J88" s="108"/>
    </row>
    <row r="89" spans="1:10" x14ac:dyDescent="0.3">
      <c r="A89" s="422" t="s">
        <v>475</v>
      </c>
      <c r="B89" s="422"/>
      <c r="C89" s="106" t="s">
        <v>508</v>
      </c>
      <c r="D89" s="106"/>
      <c r="E89" s="106">
        <f>0.5+11.98</f>
        <v>12.48</v>
      </c>
      <c r="F89" s="106"/>
      <c r="G89" s="423">
        <v>1</v>
      </c>
      <c r="H89" s="424"/>
      <c r="I89" s="107">
        <f t="shared" ref="I89:I97" si="5">E89*G89</f>
        <v>12.48</v>
      </c>
      <c r="J89" s="108"/>
    </row>
    <row r="90" spans="1:10" x14ac:dyDescent="0.3">
      <c r="A90" s="422" t="s">
        <v>475</v>
      </c>
      <c r="B90" s="422"/>
      <c r="C90" s="106" t="s">
        <v>509</v>
      </c>
      <c r="D90" s="106"/>
      <c r="E90" s="106">
        <f>0.5+11.98</f>
        <v>12.48</v>
      </c>
      <c r="F90" s="106"/>
      <c r="G90" s="423">
        <v>1</v>
      </c>
      <c r="H90" s="424"/>
      <c r="I90" s="107">
        <f t="shared" si="5"/>
        <v>12.48</v>
      </c>
      <c r="J90" s="108"/>
    </row>
    <row r="91" spans="1:10" x14ac:dyDescent="0.3">
      <c r="A91" s="422" t="s">
        <v>475</v>
      </c>
      <c r="B91" s="422"/>
      <c r="C91" s="106" t="s">
        <v>510</v>
      </c>
      <c r="D91" s="106"/>
      <c r="E91" s="106">
        <v>6.8</v>
      </c>
      <c r="F91" s="106"/>
      <c r="G91" s="423">
        <v>1</v>
      </c>
      <c r="H91" s="424"/>
      <c r="I91" s="107">
        <f t="shared" si="5"/>
        <v>6.8</v>
      </c>
      <c r="J91" s="108"/>
    </row>
    <row r="92" spans="1:10" x14ac:dyDescent="0.3">
      <c r="A92" s="422" t="s">
        <v>475</v>
      </c>
      <c r="B92" s="422"/>
      <c r="C92" s="106" t="s">
        <v>511</v>
      </c>
      <c r="D92" s="106"/>
      <c r="E92" s="106">
        <v>2.2999999999999998</v>
      </c>
      <c r="F92" s="106"/>
      <c r="G92" s="423">
        <v>1</v>
      </c>
      <c r="H92" s="424"/>
      <c r="I92" s="107">
        <f t="shared" si="5"/>
        <v>2.2999999999999998</v>
      </c>
      <c r="J92" s="108"/>
    </row>
    <row r="93" spans="1:10" x14ac:dyDescent="0.3">
      <c r="A93" s="422" t="s">
        <v>475</v>
      </c>
      <c r="B93" s="422"/>
      <c r="C93" s="106" t="s">
        <v>512</v>
      </c>
      <c r="D93" s="106"/>
      <c r="E93" s="106">
        <v>2.2999999999999998</v>
      </c>
      <c r="F93" s="106"/>
      <c r="G93" s="423">
        <v>1</v>
      </c>
      <c r="H93" s="424"/>
      <c r="I93" s="107">
        <f t="shared" si="5"/>
        <v>2.2999999999999998</v>
      </c>
      <c r="J93" s="108"/>
    </row>
    <row r="94" spans="1:10" x14ac:dyDescent="0.3">
      <c r="A94" s="422" t="s">
        <v>475</v>
      </c>
      <c r="B94" s="422"/>
      <c r="C94" s="106" t="s">
        <v>513</v>
      </c>
      <c r="D94" s="106"/>
      <c r="E94" s="106">
        <v>6</v>
      </c>
      <c r="F94" s="106"/>
      <c r="G94" s="423">
        <v>1</v>
      </c>
      <c r="H94" s="424"/>
      <c r="I94" s="107">
        <f t="shared" si="5"/>
        <v>6</v>
      </c>
      <c r="J94" s="108"/>
    </row>
    <row r="95" spans="1:10" x14ac:dyDescent="0.3">
      <c r="A95" s="422" t="s">
        <v>475</v>
      </c>
      <c r="B95" s="422"/>
      <c r="C95" s="106" t="s">
        <v>514</v>
      </c>
      <c r="D95" s="106"/>
      <c r="E95" s="106">
        <v>2.2999999999999998</v>
      </c>
      <c r="F95" s="106"/>
      <c r="G95" s="423">
        <v>1</v>
      </c>
      <c r="H95" s="424"/>
      <c r="I95" s="107">
        <f t="shared" si="5"/>
        <v>2.2999999999999998</v>
      </c>
      <c r="J95" s="108"/>
    </row>
    <row r="96" spans="1:10" x14ac:dyDescent="0.3">
      <c r="A96" s="422" t="s">
        <v>475</v>
      </c>
      <c r="B96" s="422"/>
      <c r="C96" s="106" t="s">
        <v>517</v>
      </c>
      <c r="D96" s="106"/>
      <c r="E96" s="106">
        <v>2.2999999999999998</v>
      </c>
      <c r="F96" s="106"/>
      <c r="G96" s="423">
        <v>1</v>
      </c>
      <c r="H96" s="424"/>
      <c r="I96" s="107">
        <f t="shared" si="5"/>
        <v>2.2999999999999998</v>
      </c>
      <c r="J96" s="108"/>
    </row>
    <row r="97" spans="1:10" x14ac:dyDescent="0.3">
      <c r="A97" s="422" t="s">
        <v>475</v>
      </c>
      <c r="B97" s="422"/>
      <c r="C97" s="106" t="s">
        <v>516</v>
      </c>
      <c r="D97" s="106"/>
      <c r="E97" s="106">
        <v>2.2999999999999998</v>
      </c>
      <c r="F97" s="106"/>
      <c r="G97" s="423">
        <v>1</v>
      </c>
      <c r="H97" s="424"/>
      <c r="I97" s="107">
        <f t="shared" si="5"/>
        <v>2.2999999999999998</v>
      </c>
      <c r="J97" s="108"/>
    </row>
    <row r="98" spans="1:10" x14ac:dyDescent="0.3">
      <c r="A98" s="422"/>
      <c r="B98" s="422"/>
      <c r="C98" s="112"/>
      <c r="D98" s="106"/>
      <c r="E98" s="106"/>
      <c r="F98" s="106"/>
      <c r="G98" s="423"/>
      <c r="H98" s="424"/>
      <c r="I98" s="107"/>
      <c r="J98" s="108"/>
    </row>
    <row r="99" spans="1:10" x14ac:dyDescent="0.3">
      <c r="A99" s="425" t="s">
        <v>1</v>
      </c>
      <c r="B99" s="426"/>
      <c r="C99" s="426"/>
      <c r="D99" s="426"/>
      <c r="E99" s="426"/>
      <c r="F99" s="426"/>
      <c r="G99" s="426"/>
      <c r="H99" s="427"/>
      <c r="I99" s="109">
        <f>SUM(I84:I98)</f>
        <v>108.03999999999999</v>
      </c>
    </row>
    <row r="100" spans="1:10" x14ac:dyDescent="0.3">
      <c r="A100" s="110"/>
      <c r="B100" s="110"/>
      <c r="C100" s="110"/>
      <c r="D100" s="110"/>
      <c r="E100" s="110"/>
      <c r="F100" s="110"/>
      <c r="G100" s="110"/>
      <c r="H100" s="110"/>
      <c r="I100" s="111"/>
    </row>
    <row r="101" spans="1:10" ht="14.4" customHeight="1" x14ac:dyDescent="0.3">
      <c r="A101" s="428" t="s">
        <v>12</v>
      </c>
      <c r="B101" s="428"/>
      <c r="C101" s="429" t="str">
        <f>VLOOKUP(A102,PRESUPUESTO!$A$14:$G$83,2,)</f>
        <v>Columnetas de confinamiento de (12x20cm) en concreto  de 3000 PSI</v>
      </c>
      <c r="D101" s="430"/>
      <c r="E101" s="430"/>
      <c r="F101" s="430"/>
      <c r="G101" s="430"/>
      <c r="H101" s="431"/>
      <c r="I101" s="104" t="s">
        <v>14</v>
      </c>
    </row>
    <row r="102" spans="1:10" x14ac:dyDescent="0.3">
      <c r="A102" s="428">
        <v>3.3</v>
      </c>
      <c r="B102" s="428"/>
      <c r="C102" s="432"/>
      <c r="D102" s="433"/>
      <c r="E102" s="433"/>
      <c r="F102" s="433"/>
      <c r="G102" s="433"/>
      <c r="H102" s="434"/>
      <c r="I102" s="104" t="str">
        <f>VLOOKUP(A102,PRESUPUESTO!$A$14:$G$83,4,)</f>
        <v>ML</v>
      </c>
    </row>
    <row r="103" spans="1:10" ht="16.850000000000001" customHeight="1" x14ac:dyDescent="0.3">
      <c r="A103" s="428" t="s">
        <v>13</v>
      </c>
      <c r="B103" s="428"/>
      <c r="C103" s="428"/>
      <c r="D103" s="104" t="s">
        <v>72</v>
      </c>
      <c r="E103" s="104" t="s">
        <v>75</v>
      </c>
      <c r="F103" s="104" t="s">
        <v>76</v>
      </c>
      <c r="G103" s="435" t="s">
        <v>74</v>
      </c>
      <c r="H103" s="436"/>
      <c r="I103" s="104" t="s">
        <v>1</v>
      </c>
      <c r="J103" s="105"/>
    </row>
    <row r="104" spans="1:10" x14ac:dyDescent="0.3">
      <c r="A104" s="422" t="s">
        <v>271</v>
      </c>
      <c r="B104" s="422"/>
      <c r="C104" s="106" t="s">
        <v>518</v>
      </c>
      <c r="D104" s="106"/>
      <c r="E104" s="106"/>
      <c r="F104" s="106">
        <v>3.18</v>
      </c>
      <c r="G104" s="423">
        <v>7</v>
      </c>
      <c r="H104" s="424"/>
      <c r="I104" s="107">
        <f t="shared" ref="I104:I112" si="6">F104*G104</f>
        <v>22.26</v>
      </c>
      <c r="J104" s="108"/>
    </row>
    <row r="105" spans="1:10" x14ac:dyDescent="0.3">
      <c r="A105" s="422" t="s">
        <v>271</v>
      </c>
      <c r="B105" s="422"/>
      <c r="C105" s="106" t="s">
        <v>519</v>
      </c>
      <c r="D105" s="106"/>
      <c r="E105" s="106"/>
      <c r="F105" s="106">
        <v>3.6</v>
      </c>
      <c r="G105" s="423">
        <v>3</v>
      </c>
      <c r="H105" s="424"/>
      <c r="I105" s="107">
        <f t="shared" si="6"/>
        <v>10.8</v>
      </c>
      <c r="J105" s="108"/>
    </row>
    <row r="106" spans="1:10" x14ac:dyDescent="0.3">
      <c r="A106" s="422" t="s">
        <v>271</v>
      </c>
      <c r="B106" s="422"/>
      <c r="C106" s="106" t="s">
        <v>520</v>
      </c>
      <c r="D106" s="106"/>
      <c r="E106" s="106"/>
      <c r="F106" s="106">
        <v>3.65</v>
      </c>
      <c r="G106" s="423">
        <v>2</v>
      </c>
      <c r="H106" s="424"/>
      <c r="I106" s="107">
        <f t="shared" si="6"/>
        <v>7.3</v>
      </c>
      <c r="J106" s="108"/>
    </row>
    <row r="107" spans="1:10" x14ac:dyDescent="0.3">
      <c r="A107" s="422" t="s">
        <v>271</v>
      </c>
      <c r="B107" s="422"/>
      <c r="C107" s="106" t="s">
        <v>521</v>
      </c>
      <c r="D107" s="106"/>
      <c r="E107" s="106"/>
      <c r="F107" s="106">
        <v>3.91</v>
      </c>
      <c r="G107" s="423">
        <v>4</v>
      </c>
      <c r="H107" s="424"/>
      <c r="I107" s="107">
        <f t="shared" si="6"/>
        <v>15.64</v>
      </c>
      <c r="J107" s="108"/>
    </row>
    <row r="108" spans="1:10" x14ac:dyDescent="0.3">
      <c r="A108" s="422" t="s">
        <v>271</v>
      </c>
      <c r="B108" s="422"/>
      <c r="C108" s="106" t="s">
        <v>522</v>
      </c>
      <c r="D108" s="106"/>
      <c r="E108" s="106"/>
      <c r="F108" s="106">
        <v>3.96</v>
      </c>
      <c r="G108" s="423">
        <v>6</v>
      </c>
      <c r="H108" s="424"/>
      <c r="I108" s="107">
        <f t="shared" si="6"/>
        <v>23.759999999999998</v>
      </c>
      <c r="J108" s="108"/>
    </row>
    <row r="109" spans="1:10" x14ac:dyDescent="0.3">
      <c r="A109" s="422" t="s">
        <v>271</v>
      </c>
      <c r="B109" s="422"/>
      <c r="C109" s="106" t="s">
        <v>523</v>
      </c>
      <c r="D109" s="106"/>
      <c r="E109" s="106"/>
      <c r="F109" s="106">
        <v>4.0999999999999996</v>
      </c>
      <c r="G109" s="423">
        <v>2</v>
      </c>
      <c r="H109" s="424"/>
      <c r="I109" s="107">
        <f t="shared" si="6"/>
        <v>8.1999999999999993</v>
      </c>
      <c r="J109" s="108"/>
    </row>
    <row r="110" spans="1:10" x14ac:dyDescent="0.3">
      <c r="A110" s="422" t="s">
        <v>271</v>
      </c>
      <c r="B110" s="422"/>
      <c r="C110" s="106" t="s">
        <v>524</v>
      </c>
      <c r="D110" s="106"/>
      <c r="E110" s="106"/>
      <c r="F110" s="106">
        <v>3.96</v>
      </c>
      <c r="G110" s="423">
        <v>6</v>
      </c>
      <c r="H110" s="424"/>
      <c r="I110" s="107">
        <f t="shared" si="6"/>
        <v>23.759999999999998</v>
      </c>
      <c r="J110" s="108"/>
    </row>
    <row r="111" spans="1:10" x14ac:dyDescent="0.3">
      <c r="A111" s="422" t="s">
        <v>271</v>
      </c>
      <c r="B111" s="422"/>
      <c r="C111" s="106" t="s">
        <v>525</v>
      </c>
      <c r="D111" s="106"/>
      <c r="E111" s="106"/>
      <c r="F111" s="106">
        <v>3.65</v>
      </c>
      <c r="G111" s="423">
        <v>2</v>
      </c>
      <c r="H111" s="424"/>
      <c r="I111" s="107">
        <f t="shared" si="6"/>
        <v>7.3</v>
      </c>
      <c r="J111" s="108"/>
    </row>
    <row r="112" spans="1:10" x14ac:dyDescent="0.3">
      <c r="A112" s="422" t="s">
        <v>271</v>
      </c>
      <c r="B112" s="422"/>
      <c r="C112" s="106" t="s">
        <v>526</v>
      </c>
      <c r="D112" s="106"/>
      <c r="E112" s="106"/>
      <c r="F112" s="106">
        <v>3.59</v>
      </c>
      <c r="G112" s="423">
        <v>3</v>
      </c>
      <c r="H112" s="424"/>
      <c r="I112" s="107">
        <f t="shared" si="6"/>
        <v>10.77</v>
      </c>
      <c r="J112" s="108"/>
    </row>
    <row r="113" spans="1:10" x14ac:dyDescent="0.3">
      <c r="A113" s="422" t="s">
        <v>271</v>
      </c>
      <c r="B113" s="422"/>
      <c r="C113" s="106" t="s">
        <v>527</v>
      </c>
      <c r="D113" s="106"/>
      <c r="E113" s="106"/>
      <c r="F113" s="106">
        <v>3.18</v>
      </c>
      <c r="G113" s="423">
        <v>7</v>
      </c>
      <c r="H113" s="424"/>
      <c r="I113" s="107">
        <f t="shared" ref="I113" si="7">F113*G113</f>
        <v>22.26</v>
      </c>
      <c r="J113" s="108"/>
    </row>
    <row r="114" spans="1:10" x14ac:dyDescent="0.3">
      <c r="A114" s="425" t="s">
        <v>1</v>
      </c>
      <c r="B114" s="426"/>
      <c r="C114" s="426"/>
      <c r="D114" s="426"/>
      <c r="E114" s="426"/>
      <c r="F114" s="426"/>
      <c r="G114" s="426"/>
      <c r="H114" s="427"/>
      <c r="I114" s="109">
        <f>SUM(I104:I113)</f>
        <v>152.04999999999998</v>
      </c>
    </row>
    <row r="115" spans="1:10" x14ac:dyDescent="0.3">
      <c r="A115" s="110"/>
      <c r="B115" s="110"/>
      <c r="C115" s="110"/>
      <c r="D115" s="110"/>
      <c r="E115" s="110"/>
      <c r="F115" s="110"/>
      <c r="G115" s="110"/>
      <c r="H115" s="110"/>
      <c r="I115" s="111"/>
    </row>
    <row r="116" spans="1:10" ht="14.4" customHeight="1" x14ac:dyDescent="0.3">
      <c r="A116" s="428" t="s">
        <v>12</v>
      </c>
      <c r="B116" s="428"/>
      <c r="C116" s="429" t="str">
        <f>VLOOKUP(A117,PRESUPUESTO!$A$14:$G$83,2,)</f>
        <v xml:space="preserve">Acero de refuerzo Fy= 420 mpa </v>
      </c>
      <c r="D116" s="430"/>
      <c r="E116" s="430"/>
      <c r="F116" s="430"/>
      <c r="G116" s="430"/>
      <c r="H116" s="431"/>
      <c r="I116" s="104" t="s">
        <v>14</v>
      </c>
    </row>
    <row r="117" spans="1:10" x14ac:dyDescent="0.3">
      <c r="A117" s="428">
        <v>3.4</v>
      </c>
      <c r="B117" s="428"/>
      <c r="C117" s="432"/>
      <c r="D117" s="433"/>
      <c r="E117" s="433"/>
      <c r="F117" s="433"/>
      <c r="G117" s="433"/>
      <c r="H117" s="434"/>
      <c r="I117" s="104" t="str">
        <f>VLOOKUP(A117,PRESUPUESTO!$A$14:$G$83,4,)</f>
        <v>KG</v>
      </c>
    </row>
    <row r="118" spans="1:10" ht="16.850000000000001" customHeight="1" x14ac:dyDescent="0.3">
      <c r="A118" s="428" t="s">
        <v>13</v>
      </c>
      <c r="B118" s="428"/>
      <c r="C118" s="428"/>
      <c r="D118" s="104" t="s">
        <v>581</v>
      </c>
      <c r="E118" s="104" t="s">
        <v>580</v>
      </c>
      <c r="F118" s="104" t="s">
        <v>197</v>
      </c>
      <c r="G118" s="104" t="s">
        <v>74</v>
      </c>
      <c r="H118" s="104" t="s">
        <v>15</v>
      </c>
      <c r="I118" s="104" t="s">
        <v>1</v>
      </c>
      <c r="J118" s="105"/>
    </row>
    <row r="119" spans="1:10" x14ac:dyDescent="0.3">
      <c r="A119" s="422" t="s">
        <v>272</v>
      </c>
      <c r="B119" s="422"/>
      <c r="C119" s="106" t="s">
        <v>528</v>
      </c>
      <c r="D119" s="106">
        <f>12.65*1.1</f>
        <v>13.915000000000001</v>
      </c>
      <c r="E119" s="106">
        <v>1</v>
      </c>
      <c r="F119" s="350">
        <f t="shared" ref="F119:F174" si="8">D119*E119</f>
        <v>13.915000000000001</v>
      </c>
      <c r="G119" s="107">
        <v>4</v>
      </c>
      <c r="H119" s="107">
        <v>2</v>
      </c>
      <c r="I119" s="107">
        <f t="shared" ref="I119:I163" si="9">F119*G119*H119</f>
        <v>111.32000000000001</v>
      </c>
      <c r="J119" s="108"/>
    </row>
    <row r="120" spans="1:10" x14ac:dyDescent="0.3">
      <c r="A120" s="422" t="s">
        <v>272</v>
      </c>
      <c r="B120" s="422"/>
      <c r="C120" s="106" t="s">
        <v>529</v>
      </c>
      <c r="D120" s="106">
        <v>1.1499999999999999</v>
      </c>
      <c r="E120" s="106">
        <v>0.56000000000000005</v>
      </c>
      <c r="F120" s="350">
        <f t="shared" si="8"/>
        <v>0.64400000000000002</v>
      </c>
      <c r="G120" s="107">
        <v>98</v>
      </c>
      <c r="H120" s="107">
        <v>2</v>
      </c>
      <c r="I120" s="107">
        <f t="shared" si="9"/>
        <v>126.224</v>
      </c>
      <c r="J120" s="108"/>
    </row>
    <row r="121" spans="1:10" x14ac:dyDescent="0.3">
      <c r="A121" s="422" t="s">
        <v>272</v>
      </c>
      <c r="B121" s="422"/>
      <c r="C121" s="106" t="s">
        <v>530</v>
      </c>
      <c r="D121" s="106">
        <f>11.98*1.1</f>
        <v>13.178000000000001</v>
      </c>
      <c r="E121" s="106">
        <v>1</v>
      </c>
      <c r="F121" s="350">
        <f t="shared" si="8"/>
        <v>13.178000000000001</v>
      </c>
      <c r="G121" s="107">
        <v>4</v>
      </c>
      <c r="H121" s="107">
        <v>3</v>
      </c>
      <c r="I121" s="107">
        <f t="shared" si="9"/>
        <v>158.13600000000002</v>
      </c>
      <c r="J121" s="108"/>
    </row>
    <row r="122" spans="1:10" x14ac:dyDescent="0.3">
      <c r="A122" s="422" t="s">
        <v>272</v>
      </c>
      <c r="B122" s="422"/>
      <c r="C122" s="106" t="s">
        <v>531</v>
      </c>
      <c r="D122" s="106">
        <v>1.1499999999999999</v>
      </c>
      <c r="E122" s="106">
        <v>0.56000000000000005</v>
      </c>
      <c r="F122" s="350">
        <f t="shared" si="8"/>
        <v>0.64400000000000002</v>
      </c>
      <c r="G122" s="107">
        <v>94</v>
      </c>
      <c r="H122" s="107">
        <v>3</v>
      </c>
      <c r="I122" s="107">
        <f t="shared" si="9"/>
        <v>181.608</v>
      </c>
      <c r="J122" s="108"/>
    </row>
    <row r="123" spans="1:10" x14ac:dyDescent="0.3">
      <c r="A123" s="422" t="s">
        <v>272</v>
      </c>
      <c r="B123" s="422"/>
      <c r="C123" s="106" t="s">
        <v>532</v>
      </c>
      <c r="D123" s="106">
        <f>10.5*1.1</f>
        <v>11.55</v>
      </c>
      <c r="E123" s="106">
        <v>1</v>
      </c>
      <c r="F123" s="350">
        <f t="shared" si="8"/>
        <v>11.55</v>
      </c>
      <c r="G123" s="107">
        <v>4</v>
      </c>
      <c r="H123" s="107">
        <v>2</v>
      </c>
      <c r="I123" s="107">
        <f t="shared" si="9"/>
        <v>92.4</v>
      </c>
      <c r="J123" s="108"/>
    </row>
    <row r="124" spans="1:10" x14ac:dyDescent="0.3">
      <c r="A124" s="422" t="s">
        <v>272</v>
      </c>
      <c r="B124" s="422"/>
      <c r="C124" s="106" t="s">
        <v>533</v>
      </c>
      <c r="D124" s="106">
        <v>1.1499999999999999</v>
      </c>
      <c r="E124" s="106">
        <v>0.56000000000000005</v>
      </c>
      <c r="F124" s="350">
        <f t="shared" si="8"/>
        <v>0.64400000000000002</v>
      </c>
      <c r="G124" s="107">
        <v>81</v>
      </c>
      <c r="H124" s="107">
        <v>2</v>
      </c>
      <c r="I124" s="107">
        <f t="shared" si="9"/>
        <v>104.328</v>
      </c>
      <c r="J124" s="108"/>
    </row>
    <row r="125" spans="1:10" x14ac:dyDescent="0.3">
      <c r="A125" s="422" t="s">
        <v>272</v>
      </c>
      <c r="B125" s="422"/>
      <c r="C125" s="106" t="s">
        <v>534</v>
      </c>
      <c r="D125" s="106">
        <f>6.8*1.1</f>
        <v>7.48</v>
      </c>
      <c r="E125" s="106">
        <v>1</v>
      </c>
      <c r="F125" s="350">
        <f t="shared" si="8"/>
        <v>7.48</v>
      </c>
      <c r="G125" s="107">
        <v>4</v>
      </c>
      <c r="H125" s="107">
        <v>1</v>
      </c>
      <c r="I125" s="107">
        <f t="shared" si="9"/>
        <v>29.92</v>
      </c>
      <c r="J125" s="108"/>
    </row>
    <row r="126" spans="1:10" x14ac:dyDescent="0.3">
      <c r="A126" s="422" t="s">
        <v>272</v>
      </c>
      <c r="B126" s="422"/>
      <c r="C126" s="106" t="s">
        <v>535</v>
      </c>
      <c r="D126" s="106">
        <v>1.1499999999999999</v>
      </c>
      <c r="E126" s="106">
        <v>0.56000000000000005</v>
      </c>
      <c r="F126" s="350">
        <f t="shared" si="8"/>
        <v>0.64400000000000002</v>
      </c>
      <c r="G126" s="107">
        <v>52</v>
      </c>
      <c r="H126" s="107">
        <v>1</v>
      </c>
      <c r="I126" s="107">
        <f t="shared" si="9"/>
        <v>33.488</v>
      </c>
      <c r="J126" s="108"/>
    </row>
    <row r="127" spans="1:10" x14ac:dyDescent="0.3">
      <c r="A127" s="422" t="s">
        <v>272</v>
      </c>
      <c r="B127" s="422"/>
      <c r="C127" s="106" t="s">
        <v>536</v>
      </c>
      <c r="D127" s="106">
        <f>6*1.1</f>
        <v>6.6000000000000005</v>
      </c>
      <c r="E127" s="106">
        <v>1</v>
      </c>
      <c r="F127" s="350">
        <f t="shared" ref="F127:F134" si="10">D127*E127</f>
        <v>6.6000000000000005</v>
      </c>
      <c r="G127" s="107">
        <v>4</v>
      </c>
      <c r="H127" s="107">
        <v>1</v>
      </c>
      <c r="I127" s="107">
        <f t="shared" ref="I127:I134" si="11">F127*G127*H127</f>
        <v>26.400000000000002</v>
      </c>
      <c r="J127" s="108"/>
    </row>
    <row r="128" spans="1:10" x14ac:dyDescent="0.3">
      <c r="A128" s="422" t="s">
        <v>272</v>
      </c>
      <c r="B128" s="422"/>
      <c r="C128" s="106" t="s">
        <v>537</v>
      </c>
      <c r="D128" s="106">
        <v>1.1499999999999999</v>
      </c>
      <c r="E128" s="106">
        <v>0.56000000000000005</v>
      </c>
      <c r="F128" s="350">
        <f t="shared" si="10"/>
        <v>0.64400000000000002</v>
      </c>
      <c r="G128" s="107">
        <v>47</v>
      </c>
      <c r="H128" s="107">
        <v>1</v>
      </c>
      <c r="I128" s="107">
        <f t="shared" si="11"/>
        <v>30.268000000000001</v>
      </c>
      <c r="J128" s="108"/>
    </row>
    <row r="129" spans="1:10" x14ac:dyDescent="0.3">
      <c r="A129" s="422" t="s">
        <v>272</v>
      </c>
      <c r="B129" s="422"/>
      <c r="C129" s="106" t="s">
        <v>538</v>
      </c>
      <c r="D129" s="106">
        <v>2.2999999999999998</v>
      </c>
      <c r="E129" s="106">
        <v>1</v>
      </c>
      <c r="F129" s="350">
        <f t="shared" si="10"/>
        <v>2.2999999999999998</v>
      </c>
      <c r="G129" s="107">
        <v>4</v>
      </c>
      <c r="H129" s="107">
        <v>1</v>
      </c>
      <c r="I129" s="107">
        <f t="shared" si="11"/>
        <v>9.1999999999999993</v>
      </c>
      <c r="J129" s="108"/>
    </row>
    <row r="130" spans="1:10" x14ac:dyDescent="0.3">
      <c r="A130" s="422" t="s">
        <v>272</v>
      </c>
      <c r="B130" s="422"/>
      <c r="C130" s="106" t="s">
        <v>539</v>
      </c>
      <c r="D130" s="106">
        <v>1.1499999999999999</v>
      </c>
      <c r="E130" s="106">
        <v>0.56000000000000005</v>
      </c>
      <c r="F130" s="350">
        <f t="shared" si="10"/>
        <v>0.64400000000000002</v>
      </c>
      <c r="G130" s="107">
        <v>16</v>
      </c>
      <c r="H130" s="107">
        <v>1</v>
      </c>
      <c r="I130" s="107">
        <f t="shared" si="11"/>
        <v>10.304</v>
      </c>
      <c r="J130" s="108"/>
    </row>
    <row r="131" spans="1:10" x14ac:dyDescent="0.3">
      <c r="A131" s="422" t="s">
        <v>272</v>
      </c>
      <c r="B131" s="422"/>
      <c r="C131" s="106" t="s">
        <v>540</v>
      </c>
      <c r="D131" s="106">
        <v>2.2999999999999998</v>
      </c>
      <c r="E131" s="106">
        <v>1</v>
      </c>
      <c r="F131" s="350">
        <f t="shared" si="10"/>
        <v>2.2999999999999998</v>
      </c>
      <c r="G131" s="107">
        <v>4</v>
      </c>
      <c r="H131" s="107">
        <v>1</v>
      </c>
      <c r="I131" s="107">
        <f t="shared" si="11"/>
        <v>9.1999999999999993</v>
      </c>
      <c r="J131" s="108"/>
    </row>
    <row r="132" spans="1:10" x14ac:dyDescent="0.3">
      <c r="A132" s="422" t="s">
        <v>272</v>
      </c>
      <c r="B132" s="422"/>
      <c r="C132" s="106" t="s">
        <v>541</v>
      </c>
      <c r="D132" s="106">
        <v>1.1499999999999999</v>
      </c>
      <c r="E132" s="106">
        <v>0.56000000000000005</v>
      </c>
      <c r="F132" s="350">
        <f t="shared" si="10"/>
        <v>0.64400000000000002</v>
      </c>
      <c r="G132" s="107">
        <v>16</v>
      </c>
      <c r="H132" s="107">
        <v>1</v>
      </c>
      <c r="I132" s="107">
        <f t="shared" si="11"/>
        <v>10.304</v>
      </c>
      <c r="J132" s="108"/>
    </row>
    <row r="133" spans="1:10" x14ac:dyDescent="0.3">
      <c r="A133" s="422" t="s">
        <v>272</v>
      </c>
      <c r="B133" s="422"/>
      <c r="C133" s="106" t="s">
        <v>542</v>
      </c>
      <c r="D133" s="106">
        <v>2.2999999999999998</v>
      </c>
      <c r="E133" s="106">
        <v>1</v>
      </c>
      <c r="F133" s="350">
        <f t="shared" si="10"/>
        <v>2.2999999999999998</v>
      </c>
      <c r="G133" s="107">
        <v>4</v>
      </c>
      <c r="H133" s="107">
        <v>1</v>
      </c>
      <c r="I133" s="107">
        <f t="shared" si="11"/>
        <v>9.1999999999999993</v>
      </c>
      <c r="J133" s="108"/>
    </row>
    <row r="134" spans="1:10" x14ac:dyDescent="0.3">
      <c r="A134" s="422" t="s">
        <v>272</v>
      </c>
      <c r="B134" s="422"/>
      <c r="C134" s="106" t="s">
        <v>543</v>
      </c>
      <c r="D134" s="106">
        <v>1.1499999999999999</v>
      </c>
      <c r="E134" s="106">
        <v>0.56000000000000005</v>
      </c>
      <c r="F134" s="350">
        <f t="shared" si="10"/>
        <v>0.64400000000000002</v>
      </c>
      <c r="G134" s="107">
        <v>16</v>
      </c>
      <c r="H134" s="107">
        <v>1</v>
      </c>
      <c r="I134" s="107">
        <f t="shared" si="11"/>
        <v>10.304</v>
      </c>
      <c r="J134" s="108"/>
    </row>
    <row r="135" spans="1:10" x14ac:dyDescent="0.3">
      <c r="A135" s="422" t="s">
        <v>272</v>
      </c>
      <c r="B135" s="422"/>
      <c r="C135" s="106" t="s">
        <v>544</v>
      </c>
      <c r="D135" s="106">
        <v>2.2999999999999998</v>
      </c>
      <c r="E135" s="106">
        <v>1</v>
      </c>
      <c r="F135" s="350">
        <f t="shared" ref="F135:F136" si="12">D135*E135</f>
        <v>2.2999999999999998</v>
      </c>
      <c r="G135" s="107">
        <v>4</v>
      </c>
      <c r="H135" s="107">
        <v>1</v>
      </c>
      <c r="I135" s="107">
        <f t="shared" ref="I135:I136" si="13">F135*G135*H135</f>
        <v>9.1999999999999993</v>
      </c>
      <c r="J135" s="108"/>
    </row>
    <row r="136" spans="1:10" x14ac:dyDescent="0.3">
      <c r="A136" s="422" t="s">
        <v>272</v>
      </c>
      <c r="B136" s="422"/>
      <c r="C136" s="106" t="s">
        <v>545</v>
      </c>
      <c r="D136" s="106">
        <v>1.1499999999999999</v>
      </c>
      <c r="E136" s="106">
        <v>0.56000000000000005</v>
      </c>
      <c r="F136" s="350">
        <f t="shared" si="12"/>
        <v>0.64400000000000002</v>
      </c>
      <c r="G136" s="107">
        <v>16</v>
      </c>
      <c r="H136" s="107">
        <v>1</v>
      </c>
      <c r="I136" s="107">
        <f t="shared" si="13"/>
        <v>10.304</v>
      </c>
      <c r="J136" s="108"/>
    </row>
    <row r="137" spans="1:10" x14ac:dyDescent="0.3">
      <c r="A137" s="422" t="s">
        <v>272</v>
      </c>
      <c r="B137" s="422"/>
      <c r="C137" s="106" t="s">
        <v>546</v>
      </c>
      <c r="D137" s="106">
        <v>2.2999999999999998</v>
      </c>
      <c r="E137" s="106">
        <v>1</v>
      </c>
      <c r="F137" s="350">
        <f t="shared" ref="F137:F138" si="14">D137*E137</f>
        <v>2.2999999999999998</v>
      </c>
      <c r="G137" s="107">
        <v>4</v>
      </c>
      <c r="H137" s="107">
        <v>1</v>
      </c>
      <c r="I137" s="107">
        <f t="shared" ref="I137:I138" si="15">F137*G137*H137</f>
        <v>9.1999999999999993</v>
      </c>
      <c r="J137" s="108"/>
    </row>
    <row r="138" spans="1:10" x14ac:dyDescent="0.3">
      <c r="A138" s="422" t="s">
        <v>272</v>
      </c>
      <c r="B138" s="422"/>
      <c r="C138" s="106" t="s">
        <v>547</v>
      </c>
      <c r="D138" s="106">
        <v>1.1499999999999999</v>
      </c>
      <c r="E138" s="106">
        <v>0.56000000000000005</v>
      </c>
      <c r="F138" s="350">
        <f t="shared" si="14"/>
        <v>0.64400000000000002</v>
      </c>
      <c r="G138" s="107">
        <v>16</v>
      </c>
      <c r="H138" s="107">
        <v>1</v>
      </c>
      <c r="I138" s="107">
        <f t="shared" si="15"/>
        <v>10.304</v>
      </c>
      <c r="J138" s="108"/>
    </row>
    <row r="139" spans="1:10" x14ac:dyDescent="0.3">
      <c r="A139" s="422" t="s">
        <v>273</v>
      </c>
      <c r="B139" s="422"/>
      <c r="C139" s="106" t="s">
        <v>529</v>
      </c>
      <c r="D139" s="106">
        <f>12.65*1.1</f>
        <v>13.915000000000001</v>
      </c>
      <c r="E139" s="106">
        <v>0.56000000000000005</v>
      </c>
      <c r="F139" s="350">
        <f t="shared" si="8"/>
        <v>7.7924000000000015</v>
      </c>
      <c r="G139" s="107">
        <v>4</v>
      </c>
      <c r="H139" s="107">
        <v>2</v>
      </c>
      <c r="I139" s="107">
        <f t="shared" si="9"/>
        <v>62.339200000000012</v>
      </c>
      <c r="J139" s="108"/>
    </row>
    <row r="140" spans="1:10" x14ac:dyDescent="0.3">
      <c r="A140" s="422" t="s">
        <v>273</v>
      </c>
      <c r="B140" s="422"/>
      <c r="C140" s="106" t="s">
        <v>548</v>
      </c>
      <c r="D140" s="106">
        <v>1.1499999999999999</v>
      </c>
      <c r="E140" s="106">
        <v>0.25</v>
      </c>
      <c r="F140" s="350">
        <f t="shared" si="8"/>
        <v>0.28749999999999998</v>
      </c>
      <c r="G140" s="107">
        <v>109</v>
      </c>
      <c r="H140" s="107">
        <v>2</v>
      </c>
      <c r="I140" s="107">
        <f t="shared" si="9"/>
        <v>62.674999999999997</v>
      </c>
      <c r="J140" s="108"/>
    </row>
    <row r="141" spans="1:10" x14ac:dyDescent="0.3">
      <c r="A141" s="422" t="s">
        <v>273</v>
      </c>
      <c r="B141" s="422"/>
      <c r="C141" s="106" t="s">
        <v>531</v>
      </c>
      <c r="D141" s="106">
        <f>11.98*1.1</f>
        <v>13.178000000000001</v>
      </c>
      <c r="E141" s="106">
        <v>0.56000000000000005</v>
      </c>
      <c r="F141" s="350">
        <f t="shared" si="8"/>
        <v>7.3796800000000013</v>
      </c>
      <c r="G141" s="107">
        <v>4</v>
      </c>
      <c r="H141" s="107">
        <v>3</v>
      </c>
      <c r="I141" s="107">
        <f t="shared" si="9"/>
        <v>88.55616000000002</v>
      </c>
      <c r="J141" s="108"/>
    </row>
    <row r="142" spans="1:10" x14ac:dyDescent="0.3">
      <c r="A142" s="422" t="s">
        <v>273</v>
      </c>
      <c r="B142" s="422"/>
      <c r="C142" s="106" t="s">
        <v>549</v>
      </c>
      <c r="D142" s="106">
        <v>1.1499999999999999</v>
      </c>
      <c r="E142" s="106">
        <v>0.25</v>
      </c>
      <c r="F142" s="350">
        <f t="shared" si="8"/>
        <v>0.28749999999999998</v>
      </c>
      <c r="G142" s="107">
        <v>108</v>
      </c>
      <c r="H142" s="107">
        <v>3</v>
      </c>
      <c r="I142" s="107">
        <f t="shared" si="9"/>
        <v>93.149999999999991</v>
      </c>
      <c r="J142" s="108"/>
    </row>
    <row r="143" spans="1:10" x14ac:dyDescent="0.3">
      <c r="A143" s="422" t="s">
        <v>273</v>
      </c>
      <c r="B143" s="422"/>
      <c r="C143" s="106" t="s">
        <v>533</v>
      </c>
      <c r="D143" s="106">
        <f>10.5*1.1</f>
        <v>11.55</v>
      </c>
      <c r="E143" s="106">
        <v>0.56000000000000005</v>
      </c>
      <c r="F143" s="350">
        <f t="shared" si="8"/>
        <v>6.4680000000000009</v>
      </c>
      <c r="G143" s="107">
        <v>4</v>
      </c>
      <c r="H143" s="107">
        <v>1</v>
      </c>
      <c r="I143" s="107">
        <f t="shared" si="9"/>
        <v>25.872000000000003</v>
      </c>
      <c r="J143" s="108"/>
    </row>
    <row r="144" spans="1:10" x14ac:dyDescent="0.3">
      <c r="A144" s="422" t="s">
        <v>273</v>
      </c>
      <c r="B144" s="422"/>
      <c r="C144" s="106" t="s">
        <v>550</v>
      </c>
      <c r="D144" s="106">
        <v>1.1499999999999999</v>
      </c>
      <c r="E144" s="106">
        <v>0.25</v>
      </c>
      <c r="F144" s="350">
        <f t="shared" si="8"/>
        <v>0.28749999999999998</v>
      </c>
      <c r="G144" s="107">
        <v>92</v>
      </c>
      <c r="H144" s="107">
        <v>1</v>
      </c>
      <c r="I144" s="107">
        <f t="shared" si="9"/>
        <v>26.45</v>
      </c>
      <c r="J144" s="108"/>
    </row>
    <row r="145" spans="1:10" x14ac:dyDescent="0.3">
      <c r="A145" s="422" t="s">
        <v>273</v>
      </c>
      <c r="B145" s="422"/>
      <c r="C145" s="106" t="s">
        <v>535</v>
      </c>
      <c r="D145" s="106">
        <f>6.8*1.1</f>
        <v>7.48</v>
      </c>
      <c r="E145" s="106">
        <v>0.56000000000000005</v>
      </c>
      <c r="F145" s="350">
        <f t="shared" si="8"/>
        <v>4.1888000000000005</v>
      </c>
      <c r="G145" s="107">
        <v>4</v>
      </c>
      <c r="H145" s="107">
        <v>1</v>
      </c>
      <c r="I145" s="107">
        <f t="shared" si="9"/>
        <v>16.755200000000002</v>
      </c>
      <c r="J145" s="108"/>
    </row>
    <row r="146" spans="1:10" x14ac:dyDescent="0.3">
      <c r="A146" s="422" t="s">
        <v>273</v>
      </c>
      <c r="B146" s="422"/>
      <c r="C146" s="106" t="s">
        <v>551</v>
      </c>
      <c r="D146" s="106">
        <v>1.1499999999999999</v>
      </c>
      <c r="E146" s="106">
        <v>0.25</v>
      </c>
      <c r="F146" s="350">
        <f t="shared" ref="F146:F152" si="16">D146*E146</f>
        <v>0.28749999999999998</v>
      </c>
      <c r="G146" s="107">
        <v>67</v>
      </c>
      <c r="H146" s="107">
        <v>1</v>
      </c>
      <c r="I146" s="107">
        <f t="shared" ref="I146:I152" si="17">F146*G146*H146</f>
        <v>19.262499999999999</v>
      </c>
      <c r="J146" s="108"/>
    </row>
    <row r="147" spans="1:10" x14ac:dyDescent="0.3">
      <c r="A147" s="422" t="s">
        <v>273</v>
      </c>
      <c r="B147" s="422"/>
      <c r="C147" s="106" t="s">
        <v>537</v>
      </c>
      <c r="D147" s="106">
        <f>6*1.1</f>
        <v>6.6000000000000005</v>
      </c>
      <c r="E147" s="106">
        <v>0.56000000000000005</v>
      </c>
      <c r="F147" s="350">
        <f t="shared" si="16"/>
        <v>3.6960000000000006</v>
      </c>
      <c r="G147" s="107">
        <v>4</v>
      </c>
      <c r="H147" s="107">
        <v>1</v>
      </c>
      <c r="I147" s="107">
        <f t="shared" si="17"/>
        <v>14.784000000000002</v>
      </c>
      <c r="J147" s="108"/>
    </row>
    <row r="148" spans="1:10" x14ac:dyDescent="0.3">
      <c r="A148" s="422" t="s">
        <v>273</v>
      </c>
      <c r="B148" s="422"/>
      <c r="C148" s="106" t="s">
        <v>552</v>
      </c>
      <c r="D148" s="106">
        <v>1.1499999999999999</v>
      </c>
      <c r="E148" s="106">
        <v>0.25</v>
      </c>
      <c r="F148" s="350">
        <f t="shared" si="16"/>
        <v>0.28749999999999998</v>
      </c>
      <c r="G148" s="107">
        <v>54</v>
      </c>
      <c r="H148" s="107">
        <v>1</v>
      </c>
      <c r="I148" s="107">
        <f t="shared" si="17"/>
        <v>15.524999999999999</v>
      </c>
      <c r="J148" s="108"/>
    </row>
    <row r="149" spans="1:10" x14ac:dyDescent="0.3">
      <c r="A149" s="422" t="s">
        <v>273</v>
      </c>
      <c r="B149" s="422"/>
      <c r="C149" s="106" t="s">
        <v>539</v>
      </c>
      <c r="D149" s="106">
        <v>2.2999999999999998</v>
      </c>
      <c r="E149" s="106">
        <v>0.56000000000000005</v>
      </c>
      <c r="F149" s="350">
        <f t="shared" si="16"/>
        <v>1.288</v>
      </c>
      <c r="G149" s="107">
        <v>4</v>
      </c>
      <c r="H149" s="107">
        <v>1</v>
      </c>
      <c r="I149" s="107">
        <f t="shared" si="17"/>
        <v>5.1520000000000001</v>
      </c>
      <c r="J149" s="108"/>
    </row>
    <row r="150" spans="1:10" x14ac:dyDescent="0.3">
      <c r="A150" s="422" t="s">
        <v>273</v>
      </c>
      <c r="B150" s="422"/>
      <c r="C150" s="106" t="s">
        <v>553</v>
      </c>
      <c r="D150" s="106">
        <v>1.1499999999999999</v>
      </c>
      <c r="E150" s="106">
        <v>0.25</v>
      </c>
      <c r="F150" s="350">
        <f t="shared" si="16"/>
        <v>0.28749999999999998</v>
      </c>
      <c r="G150" s="107">
        <v>20</v>
      </c>
      <c r="H150" s="107">
        <v>1</v>
      </c>
      <c r="I150" s="107">
        <f t="shared" si="17"/>
        <v>5.75</v>
      </c>
      <c r="J150" s="108"/>
    </row>
    <row r="151" spans="1:10" x14ac:dyDescent="0.3">
      <c r="A151" s="422" t="s">
        <v>273</v>
      </c>
      <c r="B151" s="422"/>
      <c r="C151" s="106" t="s">
        <v>541</v>
      </c>
      <c r="D151" s="106">
        <v>2.2999999999999998</v>
      </c>
      <c r="E151" s="106">
        <v>0.56000000000000005</v>
      </c>
      <c r="F151" s="350">
        <f t="shared" si="16"/>
        <v>1.288</v>
      </c>
      <c r="G151" s="107">
        <v>4</v>
      </c>
      <c r="H151" s="107">
        <v>1</v>
      </c>
      <c r="I151" s="107">
        <f t="shared" si="17"/>
        <v>5.1520000000000001</v>
      </c>
      <c r="J151" s="108"/>
    </row>
    <row r="152" spans="1:10" x14ac:dyDescent="0.3">
      <c r="A152" s="422" t="s">
        <v>273</v>
      </c>
      <c r="B152" s="422"/>
      <c r="C152" s="106" t="s">
        <v>554</v>
      </c>
      <c r="D152" s="106">
        <v>1.1499999999999999</v>
      </c>
      <c r="E152" s="106">
        <v>0.25</v>
      </c>
      <c r="F152" s="350">
        <f t="shared" si="16"/>
        <v>0.28749999999999998</v>
      </c>
      <c r="G152" s="107">
        <v>20</v>
      </c>
      <c r="H152" s="107">
        <v>1</v>
      </c>
      <c r="I152" s="107">
        <f t="shared" si="17"/>
        <v>5.75</v>
      </c>
      <c r="J152" s="108"/>
    </row>
    <row r="153" spans="1:10" ht="14.4" customHeight="1" x14ac:dyDescent="0.3">
      <c r="A153" s="422" t="s">
        <v>273</v>
      </c>
      <c r="B153" s="422"/>
      <c r="C153" s="106" t="s">
        <v>543</v>
      </c>
      <c r="D153" s="106">
        <v>2.2999999999999998</v>
      </c>
      <c r="E153" s="106">
        <v>0.56000000000000005</v>
      </c>
      <c r="F153" s="350">
        <f t="shared" si="8"/>
        <v>1.288</v>
      </c>
      <c r="G153" s="107">
        <v>4</v>
      </c>
      <c r="H153" s="107">
        <v>1</v>
      </c>
      <c r="I153" s="107">
        <f t="shared" si="9"/>
        <v>5.1520000000000001</v>
      </c>
      <c r="J153" s="108"/>
    </row>
    <row r="154" spans="1:10" x14ac:dyDescent="0.3">
      <c r="A154" s="422" t="s">
        <v>273</v>
      </c>
      <c r="B154" s="422"/>
      <c r="C154" s="106" t="s">
        <v>555</v>
      </c>
      <c r="D154" s="106">
        <v>1.1499999999999999</v>
      </c>
      <c r="E154" s="106">
        <v>0.25</v>
      </c>
      <c r="F154" s="350">
        <f t="shared" si="8"/>
        <v>0.28749999999999998</v>
      </c>
      <c r="G154" s="107">
        <v>20</v>
      </c>
      <c r="H154" s="107">
        <v>1</v>
      </c>
      <c r="I154" s="107">
        <f t="shared" si="9"/>
        <v>5.75</v>
      </c>
      <c r="J154" s="108"/>
    </row>
    <row r="155" spans="1:10" x14ac:dyDescent="0.3">
      <c r="A155" s="422" t="s">
        <v>273</v>
      </c>
      <c r="B155" s="422"/>
      <c r="C155" s="106" t="s">
        <v>545</v>
      </c>
      <c r="D155" s="106">
        <v>2.2999999999999998</v>
      </c>
      <c r="E155" s="106">
        <v>0.56000000000000005</v>
      </c>
      <c r="F155" s="350">
        <f t="shared" ref="F155:F156" si="18">D155*E155</f>
        <v>1.288</v>
      </c>
      <c r="G155" s="107">
        <v>4</v>
      </c>
      <c r="H155" s="107">
        <v>1</v>
      </c>
      <c r="I155" s="107">
        <f t="shared" ref="I155:I156" si="19">F155*G155*H155</f>
        <v>5.1520000000000001</v>
      </c>
      <c r="J155" s="108"/>
    </row>
    <row r="156" spans="1:10" ht="14.4" customHeight="1" x14ac:dyDescent="0.3">
      <c r="A156" s="422" t="s">
        <v>273</v>
      </c>
      <c r="B156" s="422"/>
      <c r="C156" s="106" t="s">
        <v>556</v>
      </c>
      <c r="D156" s="106">
        <v>1.1499999999999999</v>
      </c>
      <c r="E156" s="106">
        <v>0.25</v>
      </c>
      <c r="F156" s="350">
        <f t="shared" si="18"/>
        <v>0.28749999999999998</v>
      </c>
      <c r="G156" s="107">
        <v>20</v>
      </c>
      <c r="H156" s="107">
        <v>1</v>
      </c>
      <c r="I156" s="107">
        <f t="shared" si="19"/>
        <v>5.75</v>
      </c>
      <c r="J156" s="108"/>
    </row>
    <row r="157" spans="1:10" x14ac:dyDescent="0.3">
      <c r="A157" s="422" t="s">
        <v>273</v>
      </c>
      <c r="B157" s="422"/>
      <c r="C157" s="106" t="s">
        <v>547</v>
      </c>
      <c r="D157" s="106">
        <v>2.2999999999999998</v>
      </c>
      <c r="E157" s="106">
        <v>0.56000000000000005</v>
      </c>
      <c r="F157" s="350">
        <f t="shared" si="8"/>
        <v>1.288</v>
      </c>
      <c r="G157" s="107">
        <v>4</v>
      </c>
      <c r="H157" s="107">
        <v>1</v>
      </c>
      <c r="I157" s="107">
        <f t="shared" si="9"/>
        <v>5.1520000000000001</v>
      </c>
      <c r="J157" s="108"/>
    </row>
    <row r="158" spans="1:10" ht="14.4" customHeight="1" x14ac:dyDescent="0.3">
      <c r="A158" s="422" t="s">
        <v>273</v>
      </c>
      <c r="B158" s="422"/>
      <c r="C158" s="106" t="s">
        <v>557</v>
      </c>
      <c r="D158" s="106">
        <v>1.1499999999999999</v>
      </c>
      <c r="E158" s="106">
        <v>0.25</v>
      </c>
      <c r="F158" s="350">
        <f t="shared" ref="F158" si="20">D158*E158</f>
        <v>0.28749999999999998</v>
      </c>
      <c r="G158" s="107">
        <v>20</v>
      </c>
      <c r="H158" s="107">
        <v>1</v>
      </c>
      <c r="I158" s="107">
        <f t="shared" ref="I158" si="21">F158*G158*H158</f>
        <v>5.75</v>
      </c>
      <c r="J158" s="108"/>
    </row>
    <row r="159" spans="1:10" x14ac:dyDescent="0.3">
      <c r="A159" s="422" t="s">
        <v>274</v>
      </c>
      <c r="B159" s="422"/>
      <c r="C159" s="106" t="s">
        <v>558</v>
      </c>
      <c r="D159" s="106">
        <v>3.18</v>
      </c>
      <c r="E159" s="106">
        <v>0.56000000000000005</v>
      </c>
      <c r="F159" s="350">
        <f t="shared" si="8"/>
        <v>1.7808000000000002</v>
      </c>
      <c r="G159" s="107">
        <v>4</v>
      </c>
      <c r="H159" s="107">
        <v>7</v>
      </c>
      <c r="I159" s="107">
        <f t="shared" si="9"/>
        <v>49.862400000000008</v>
      </c>
      <c r="J159" s="108"/>
    </row>
    <row r="160" spans="1:10" x14ac:dyDescent="0.3">
      <c r="A160" s="422" t="s">
        <v>274</v>
      </c>
      <c r="B160" s="422"/>
      <c r="C160" s="106" t="s">
        <v>559</v>
      </c>
      <c r="D160" s="106">
        <v>0.7</v>
      </c>
      <c r="E160" s="106">
        <v>0.25</v>
      </c>
      <c r="F160" s="350">
        <f t="shared" ref="F160" si="22">D160*E160</f>
        <v>0.17499999999999999</v>
      </c>
      <c r="G160" s="107">
        <v>27</v>
      </c>
      <c r="H160" s="107">
        <v>7</v>
      </c>
      <c r="I160" s="107">
        <f t="shared" ref="I160" si="23">F160*G160*H160</f>
        <v>33.074999999999996</v>
      </c>
      <c r="J160" s="108"/>
    </row>
    <row r="161" spans="1:10" x14ac:dyDescent="0.3">
      <c r="A161" s="422" t="s">
        <v>274</v>
      </c>
      <c r="B161" s="422"/>
      <c r="C161" s="106" t="s">
        <v>560</v>
      </c>
      <c r="D161" s="106">
        <v>3.6</v>
      </c>
      <c r="E161" s="106">
        <v>0.56000000000000005</v>
      </c>
      <c r="F161" s="350">
        <f t="shared" si="8"/>
        <v>2.0160000000000005</v>
      </c>
      <c r="G161" s="107">
        <v>4</v>
      </c>
      <c r="H161" s="107">
        <v>3</v>
      </c>
      <c r="I161" s="107">
        <f t="shared" si="9"/>
        <v>24.192000000000007</v>
      </c>
      <c r="J161" s="108"/>
    </row>
    <row r="162" spans="1:10" x14ac:dyDescent="0.3">
      <c r="A162" s="422" t="s">
        <v>274</v>
      </c>
      <c r="B162" s="422"/>
      <c r="C162" s="106" t="s">
        <v>561</v>
      </c>
      <c r="D162" s="106">
        <v>0.7</v>
      </c>
      <c r="E162" s="106">
        <v>0.25</v>
      </c>
      <c r="F162" s="350">
        <f t="shared" ref="F162" si="24">D162*E162</f>
        <v>0.17499999999999999</v>
      </c>
      <c r="G162" s="107">
        <v>32</v>
      </c>
      <c r="H162" s="107">
        <v>3</v>
      </c>
      <c r="I162" s="107">
        <f t="shared" ref="I162" si="25">F162*G162*H162</f>
        <v>16.799999999999997</v>
      </c>
      <c r="J162" s="108"/>
    </row>
    <row r="163" spans="1:10" x14ac:dyDescent="0.3">
      <c r="A163" s="422" t="s">
        <v>274</v>
      </c>
      <c r="B163" s="422"/>
      <c r="C163" s="106" t="s">
        <v>562</v>
      </c>
      <c r="D163" s="106">
        <v>3.65</v>
      </c>
      <c r="E163" s="106">
        <v>0.56000000000000005</v>
      </c>
      <c r="F163" s="350">
        <f t="shared" si="8"/>
        <v>2.044</v>
      </c>
      <c r="G163" s="107">
        <v>4</v>
      </c>
      <c r="H163" s="107">
        <v>2</v>
      </c>
      <c r="I163" s="107">
        <f t="shared" si="9"/>
        <v>16.352</v>
      </c>
      <c r="J163" s="108"/>
    </row>
    <row r="164" spans="1:10" x14ac:dyDescent="0.3">
      <c r="A164" s="422" t="s">
        <v>274</v>
      </c>
      <c r="B164" s="422"/>
      <c r="C164" s="106" t="s">
        <v>563</v>
      </c>
      <c r="D164" s="106">
        <v>0.7</v>
      </c>
      <c r="E164" s="106">
        <v>0.25</v>
      </c>
      <c r="F164" s="350">
        <f t="shared" ref="F164" si="26">D164*E164</f>
        <v>0.17499999999999999</v>
      </c>
      <c r="G164" s="107">
        <v>32</v>
      </c>
      <c r="H164" s="107">
        <v>2</v>
      </c>
      <c r="I164" s="107">
        <f t="shared" ref="I164:I174" si="27">F164*G164*H164</f>
        <v>11.2</v>
      </c>
      <c r="J164" s="108"/>
    </row>
    <row r="165" spans="1:10" x14ac:dyDescent="0.3">
      <c r="A165" s="422" t="s">
        <v>274</v>
      </c>
      <c r="B165" s="422"/>
      <c r="C165" s="106" t="s">
        <v>564</v>
      </c>
      <c r="D165" s="106">
        <v>3.91</v>
      </c>
      <c r="E165" s="106">
        <v>0.56000000000000005</v>
      </c>
      <c r="F165" s="350">
        <f t="shared" si="8"/>
        <v>2.1896000000000004</v>
      </c>
      <c r="G165" s="107">
        <v>4</v>
      </c>
      <c r="H165" s="107">
        <v>4</v>
      </c>
      <c r="I165" s="107">
        <f t="shared" si="27"/>
        <v>35.033600000000007</v>
      </c>
      <c r="J165" s="108"/>
    </row>
    <row r="166" spans="1:10" x14ac:dyDescent="0.3">
      <c r="A166" s="422" t="s">
        <v>274</v>
      </c>
      <c r="B166" s="422"/>
      <c r="C166" s="106" t="s">
        <v>565</v>
      </c>
      <c r="D166" s="106">
        <v>0.7</v>
      </c>
      <c r="E166" s="106">
        <v>0.25</v>
      </c>
      <c r="F166" s="350">
        <f t="shared" ref="F166" si="28">D166*E166</f>
        <v>0.17499999999999999</v>
      </c>
      <c r="G166" s="107">
        <v>33</v>
      </c>
      <c r="H166" s="107">
        <v>4</v>
      </c>
      <c r="I166" s="107">
        <f t="shared" ref="I166" si="29">F166*G166*H166</f>
        <v>23.099999999999998</v>
      </c>
      <c r="J166" s="108"/>
    </row>
    <row r="167" spans="1:10" x14ac:dyDescent="0.3">
      <c r="A167" s="422" t="s">
        <v>274</v>
      </c>
      <c r="B167" s="422"/>
      <c r="C167" s="106" t="s">
        <v>566</v>
      </c>
      <c r="D167" s="106">
        <v>3.96</v>
      </c>
      <c r="E167" s="106">
        <v>0.56000000000000005</v>
      </c>
      <c r="F167" s="350">
        <f t="shared" si="8"/>
        <v>2.2176</v>
      </c>
      <c r="G167" s="107">
        <v>4</v>
      </c>
      <c r="H167" s="107">
        <v>6</v>
      </c>
      <c r="I167" s="107">
        <f t="shared" si="27"/>
        <v>53.2224</v>
      </c>
      <c r="J167" s="108"/>
    </row>
    <row r="168" spans="1:10" x14ac:dyDescent="0.3">
      <c r="A168" s="422" t="s">
        <v>274</v>
      </c>
      <c r="B168" s="422"/>
      <c r="C168" s="106" t="s">
        <v>567</v>
      </c>
      <c r="D168" s="106">
        <v>0.7</v>
      </c>
      <c r="E168" s="106">
        <v>0.25</v>
      </c>
      <c r="F168" s="350">
        <f t="shared" ref="F168" si="30">D168*E168</f>
        <v>0.17499999999999999</v>
      </c>
      <c r="G168" s="107">
        <v>34</v>
      </c>
      <c r="H168" s="107">
        <v>6</v>
      </c>
      <c r="I168" s="107">
        <f t="shared" ref="I168" si="31">F168*G168*H168</f>
        <v>35.699999999999996</v>
      </c>
      <c r="J168" s="108"/>
    </row>
    <row r="169" spans="1:10" x14ac:dyDescent="0.3">
      <c r="A169" s="422" t="s">
        <v>274</v>
      </c>
      <c r="B169" s="422"/>
      <c r="C169" s="106" t="s">
        <v>568</v>
      </c>
      <c r="D169" s="106">
        <v>4.0999999999999996</v>
      </c>
      <c r="E169" s="106">
        <v>0.56000000000000005</v>
      </c>
      <c r="F169" s="350">
        <f t="shared" si="8"/>
        <v>2.2959999999999998</v>
      </c>
      <c r="G169" s="107">
        <v>4</v>
      </c>
      <c r="H169" s="107">
        <v>2</v>
      </c>
      <c r="I169" s="107">
        <f t="shared" si="27"/>
        <v>18.367999999999999</v>
      </c>
      <c r="J169" s="108"/>
    </row>
    <row r="170" spans="1:10" x14ac:dyDescent="0.3">
      <c r="A170" s="422" t="s">
        <v>274</v>
      </c>
      <c r="B170" s="422"/>
      <c r="C170" s="106" t="s">
        <v>569</v>
      </c>
      <c r="D170" s="106">
        <v>0.7</v>
      </c>
      <c r="E170" s="106">
        <v>0.25</v>
      </c>
      <c r="F170" s="350">
        <f t="shared" ref="F170" si="32">D170*E170</f>
        <v>0.17499999999999999</v>
      </c>
      <c r="G170" s="107">
        <v>34</v>
      </c>
      <c r="H170" s="107">
        <v>2</v>
      </c>
      <c r="I170" s="107">
        <f t="shared" ref="I170" si="33">F170*G170*H170</f>
        <v>11.899999999999999</v>
      </c>
      <c r="J170" s="108"/>
    </row>
    <row r="171" spans="1:10" x14ac:dyDescent="0.3">
      <c r="A171" s="422" t="s">
        <v>274</v>
      </c>
      <c r="B171" s="422"/>
      <c r="C171" s="106" t="s">
        <v>570</v>
      </c>
      <c r="D171" s="106">
        <v>3.96</v>
      </c>
      <c r="E171" s="106">
        <v>0.56000000000000005</v>
      </c>
      <c r="F171" s="350">
        <f t="shared" si="8"/>
        <v>2.2176</v>
      </c>
      <c r="G171" s="107">
        <v>4</v>
      </c>
      <c r="H171" s="107">
        <v>6</v>
      </c>
      <c r="I171" s="107">
        <f t="shared" si="27"/>
        <v>53.2224</v>
      </c>
      <c r="J171" s="108"/>
    </row>
    <row r="172" spans="1:10" x14ac:dyDescent="0.3">
      <c r="A172" s="422" t="s">
        <v>274</v>
      </c>
      <c r="B172" s="422"/>
      <c r="C172" s="106" t="s">
        <v>571</v>
      </c>
      <c r="D172" s="106">
        <v>0.7</v>
      </c>
      <c r="E172" s="106">
        <v>0.25</v>
      </c>
      <c r="F172" s="350">
        <f t="shared" ref="F172" si="34">D172*E172</f>
        <v>0.17499999999999999</v>
      </c>
      <c r="G172" s="107">
        <v>34</v>
      </c>
      <c r="H172" s="107">
        <v>6</v>
      </c>
      <c r="I172" s="107">
        <f t="shared" ref="I172" si="35">F172*G172*H172</f>
        <v>35.699999999999996</v>
      </c>
      <c r="J172" s="108"/>
    </row>
    <row r="173" spans="1:10" x14ac:dyDescent="0.3">
      <c r="A173" s="422" t="s">
        <v>274</v>
      </c>
      <c r="B173" s="422"/>
      <c r="C173" s="106" t="s">
        <v>572</v>
      </c>
      <c r="D173" s="106">
        <v>3.65</v>
      </c>
      <c r="E173" s="106">
        <v>0.56000000000000005</v>
      </c>
      <c r="F173" s="350">
        <f t="shared" si="8"/>
        <v>2.044</v>
      </c>
      <c r="G173" s="107">
        <v>4</v>
      </c>
      <c r="H173" s="107">
        <v>2</v>
      </c>
      <c r="I173" s="107">
        <f t="shared" si="27"/>
        <v>16.352</v>
      </c>
      <c r="J173" s="108"/>
    </row>
    <row r="174" spans="1:10" x14ac:dyDescent="0.3">
      <c r="A174" s="422" t="s">
        <v>274</v>
      </c>
      <c r="B174" s="422"/>
      <c r="C174" s="106" t="s">
        <v>573</v>
      </c>
      <c r="D174" s="106">
        <v>0.7</v>
      </c>
      <c r="E174" s="106">
        <v>0.25</v>
      </c>
      <c r="F174" s="350">
        <f t="shared" si="8"/>
        <v>0.17499999999999999</v>
      </c>
      <c r="G174" s="107">
        <v>32</v>
      </c>
      <c r="H174" s="107">
        <v>2</v>
      </c>
      <c r="I174" s="107">
        <f t="shared" si="27"/>
        <v>11.2</v>
      </c>
      <c r="J174" s="108"/>
    </row>
    <row r="175" spans="1:10" x14ac:dyDescent="0.3">
      <c r="A175" s="422" t="s">
        <v>274</v>
      </c>
      <c r="B175" s="422"/>
      <c r="C175" s="106" t="s">
        <v>574</v>
      </c>
      <c r="D175" s="106">
        <v>3.6</v>
      </c>
      <c r="E175" s="106">
        <v>0.56000000000000005</v>
      </c>
      <c r="F175" s="350">
        <f t="shared" ref="F175:F176" si="36">D175*E175</f>
        <v>2.0160000000000005</v>
      </c>
      <c r="G175" s="107">
        <v>4</v>
      </c>
      <c r="H175" s="107">
        <v>3</v>
      </c>
      <c r="I175" s="107">
        <f t="shared" ref="I175:I176" si="37">F175*G175*H175</f>
        <v>24.192000000000007</v>
      </c>
      <c r="J175" s="108"/>
    </row>
    <row r="176" spans="1:10" x14ac:dyDescent="0.3">
      <c r="A176" s="422" t="s">
        <v>274</v>
      </c>
      <c r="B176" s="422"/>
      <c r="C176" s="106" t="s">
        <v>575</v>
      </c>
      <c r="D176" s="106">
        <v>0.7</v>
      </c>
      <c r="E176" s="106">
        <v>0.25</v>
      </c>
      <c r="F176" s="350">
        <f t="shared" si="36"/>
        <v>0.17499999999999999</v>
      </c>
      <c r="G176" s="107">
        <v>32</v>
      </c>
      <c r="H176" s="107">
        <v>3</v>
      </c>
      <c r="I176" s="107">
        <f t="shared" si="37"/>
        <v>16.799999999999997</v>
      </c>
      <c r="J176" s="108"/>
    </row>
    <row r="177" spans="1:10" x14ac:dyDescent="0.3">
      <c r="A177" s="422" t="s">
        <v>274</v>
      </c>
      <c r="B177" s="422"/>
      <c r="C177" s="106" t="s">
        <v>576</v>
      </c>
      <c r="D177" s="106">
        <v>3.18</v>
      </c>
      <c r="E177" s="106">
        <v>0.56000000000000005</v>
      </c>
      <c r="F177" s="350">
        <f t="shared" ref="F177:F178" si="38">D177*E177</f>
        <v>1.7808000000000002</v>
      </c>
      <c r="G177" s="107">
        <v>4</v>
      </c>
      <c r="H177" s="107">
        <v>7</v>
      </c>
      <c r="I177" s="107">
        <f t="shared" ref="I177:I178" si="39">F177*G177*H177</f>
        <v>49.862400000000008</v>
      </c>
      <c r="J177" s="108"/>
    </row>
    <row r="178" spans="1:10" x14ac:dyDescent="0.3">
      <c r="A178" s="422" t="s">
        <v>274</v>
      </c>
      <c r="B178" s="422"/>
      <c r="C178" s="106" t="s">
        <v>577</v>
      </c>
      <c r="D178" s="106">
        <v>0.7</v>
      </c>
      <c r="E178" s="106">
        <v>0.25</v>
      </c>
      <c r="F178" s="350">
        <f t="shared" si="38"/>
        <v>0.17499999999999999</v>
      </c>
      <c r="G178" s="107">
        <v>27</v>
      </c>
      <c r="H178" s="107">
        <v>7</v>
      </c>
      <c r="I178" s="107">
        <f t="shared" si="39"/>
        <v>33.074999999999996</v>
      </c>
      <c r="J178" s="108"/>
    </row>
    <row r="179" spans="1:10" x14ac:dyDescent="0.3">
      <c r="A179" s="422" t="s">
        <v>579</v>
      </c>
      <c r="B179" s="422"/>
      <c r="C179" s="106" t="s">
        <v>477</v>
      </c>
      <c r="D179" s="106">
        <f>11.98*12.65</f>
        <v>151.547</v>
      </c>
      <c r="E179" s="106">
        <v>2.1</v>
      </c>
      <c r="F179" s="350">
        <f>D179*E179</f>
        <v>318.24869999999999</v>
      </c>
      <c r="G179" s="107">
        <v>1</v>
      </c>
      <c r="H179" s="107">
        <v>1</v>
      </c>
      <c r="I179" s="107">
        <f t="shared" ref="I179" si="40">F179*G179*H179</f>
        <v>318.24869999999999</v>
      </c>
      <c r="J179" s="108"/>
    </row>
    <row r="180" spans="1:10" x14ac:dyDescent="0.3">
      <c r="A180" s="422" t="s">
        <v>579</v>
      </c>
      <c r="B180" s="422"/>
      <c r="C180" s="106" t="s">
        <v>582</v>
      </c>
      <c r="D180" s="106">
        <f>12.65*2.5</f>
        <v>31.625</v>
      </c>
      <c r="E180" s="106">
        <v>2.1</v>
      </c>
      <c r="F180" s="350">
        <f>D180*E180</f>
        <v>66.412500000000009</v>
      </c>
      <c r="G180" s="107">
        <v>1</v>
      </c>
      <c r="H180" s="107">
        <v>1</v>
      </c>
      <c r="I180" s="107">
        <f t="shared" ref="I180" si="41">F180*G180*H180</f>
        <v>66.412500000000009</v>
      </c>
      <c r="J180" s="108"/>
    </row>
    <row r="181" spans="1:10" x14ac:dyDescent="0.3">
      <c r="A181" s="425" t="s">
        <v>1</v>
      </c>
      <c r="B181" s="426"/>
      <c r="C181" s="426"/>
      <c r="D181" s="426"/>
      <c r="E181" s="426"/>
      <c r="F181" s="426"/>
      <c r="G181" s="426"/>
      <c r="H181" s="427"/>
      <c r="I181" s="109">
        <f>SUM(I119:I180)</f>
        <v>2425.3614600000014</v>
      </c>
    </row>
    <row r="182" spans="1:10" x14ac:dyDescent="0.3">
      <c r="A182" s="110"/>
      <c r="B182" s="110"/>
      <c r="C182" s="110"/>
      <c r="D182" s="110"/>
      <c r="E182" s="110"/>
      <c r="F182" s="110"/>
      <c r="G182" s="110"/>
      <c r="H182" s="110"/>
      <c r="I182" s="111"/>
    </row>
    <row r="183" spans="1:10" ht="14.4" customHeight="1" x14ac:dyDescent="0.3">
      <c r="A183" s="428" t="s">
        <v>12</v>
      </c>
      <c r="B183" s="428"/>
      <c r="C183" s="429" t="str">
        <f>VLOOKUP(A184,PRESUPUESTO!$A$14:$G$83,2,)</f>
        <v>Concreto Ciclopeo 60-40 Mejoramiento del terreno (40X40)</v>
      </c>
      <c r="D183" s="430"/>
      <c r="E183" s="430"/>
      <c r="F183" s="430"/>
      <c r="G183" s="430"/>
      <c r="H183" s="431"/>
      <c r="I183" s="104" t="s">
        <v>14</v>
      </c>
    </row>
    <row r="184" spans="1:10" x14ac:dyDescent="0.3">
      <c r="A184" s="428">
        <v>3.5</v>
      </c>
      <c r="B184" s="428"/>
      <c r="C184" s="432"/>
      <c r="D184" s="433"/>
      <c r="E184" s="433"/>
      <c r="F184" s="433"/>
      <c r="G184" s="433"/>
      <c r="H184" s="434"/>
      <c r="I184" s="104" t="str">
        <f>VLOOKUP(A184,PRESUPUESTO!$A$14:$G$83,4,)</f>
        <v>M3</v>
      </c>
    </row>
    <row r="185" spans="1:10" ht="16.850000000000001" customHeight="1" x14ac:dyDescent="0.3">
      <c r="A185" s="428" t="s">
        <v>13</v>
      </c>
      <c r="B185" s="428"/>
      <c r="C185" s="428"/>
      <c r="D185" s="104" t="s">
        <v>72</v>
      </c>
      <c r="E185" s="104" t="s">
        <v>75</v>
      </c>
      <c r="F185" s="104" t="s">
        <v>76</v>
      </c>
      <c r="G185" s="435" t="s">
        <v>74</v>
      </c>
      <c r="H185" s="436"/>
      <c r="I185" s="104" t="s">
        <v>1</v>
      </c>
      <c r="J185" s="105"/>
    </row>
    <row r="186" spans="1:10" x14ac:dyDescent="0.3">
      <c r="A186" s="422" t="s">
        <v>275</v>
      </c>
      <c r="B186" s="422"/>
      <c r="C186" s="106" t="s">
        <v>487</v>
      </c>
      <c r="D186" s="106">
        <v>0.4</v>
      </c>
      <c r="E186" s="106">
        <v>12.65</v>
      </c>
      <c r="F186" s="106">
        <v>0.4</v>
      </c>
      <c r="G186" s="423">
        <v>1</v>
      </c>
      <c r="H186" s="424"/>
      <c r="I186" s="107">
        <f>D186*E186*F186*G186</f>
        <v>2.0240000000000005</v>
      </c>
      <c r="J186" s="108"/>
    </row>
    <row r="187" spans="1:10" x14ac:dyDescent="0.3">
      <c r="A187" s="422" t="s">
        <v>275</v>
      </c>
      <c r="B187" s="422"/>
      <c r="C187" s="106" t="s">
        <v>488</v>
      </c>
      <c r="D187" s="106">
        <v>0.4</v>
      </c>
      <c r="E187" s="106">
        <v>10.5</v>
      </c>
      <c r="F187" s="106">
        <v>0.4</v>
      </c>
      <c r="G187" s="423">
        <v>1</v>
      </c>
      <c r="H187" s="424"/>
      <c r="I187" s="107">
        <f t="shared" ref="I187:I196" si="42">D187*E187*F187*G187</f>
        <v>1.6800000000000002</v>
      </c>
      <c r="J187" s="108"/>
    </row>
    <row r="188" spans="1:10" x14ac:dyDescent="0.3">
      <c r="A188" s="422" t="s">
        <v>275</v>
      </c>
      <c r="B188" s="422"/>
      <c r="C188" s="106" t="s">
        <v>489</v>
      </c>
      <c r="D188" s="106">
        <v>0.4</v>
      </c>
      <c r="E188" s="106">
        <v>10.5</v>
      </c>
      <c r="F188" s="106">
        <v>0.4</v>
      </c>
      <c r="G188" s="423">
        <v>1</v>
      </c>
      <c r="H188" s="424"/>
      <c r="I188" s="107">
        <f t="shared" si="42"/>
        <v>1.6800000000000002</v>
      </c>
      <c r="J188" s="108"/>
    </row>
    <row r="189" spans="1:10" x14ac:dyDescent="0.3">
      <c r="A189" s="422" t="s">
        <v>275</v>
      </c>
      <c r="B189" s="422"/>
      <c r="C189" s="106" t="s">
        <v>490</v>
      </c>
      <c r="D189" s="106">
        <v>0.4</v>
      </c>
      <c r="E189" s="106">
        <v>12.65</v>
      </c>
      <c r="F189" s="106">
        <v>0.4</v>
      </c>
      <c r="G189" s="423">
        <v>1</v>
      </c>
      <c r="H189" s="424"/>
      <c r="I189" s="107">
        <f t="shared" si="42"/>
        <v>2.0240000000000005</v>
      </c>
      <c r="J189" s="108"/>
    </row>
    <row r="190" spans="1:10" x14ac:dyDescent="0.3">
      <c r="A190" s="422" t="s">
        <v>275</v>
      </c>
      <c r="B190" s="422"/>
      <c r="C190" s="106" t="s">
        <v>491</v>
      </c>
      <c r="D190" s="106">
        <v>0.4</v>
      </c>
      <c r="E190" s="106">
        <v>11.98</v>
      </c>
      <c r="F190" s="106">
        <v>0.4</v>
      </c>
      <c r="G190" s="423">
        <v>1</v>
      </c>
      <c r="H190" s="424"/>
      <c r="I190" s="107">
        <f t="shared" si="42"/>
        <v>1.9168000000000003</v>
      </c>
      <c r="J190" s="108"/>
    </row>
    <row r="191" spans="1:10" x14ac:dyDescent="0.3">
      <c r="A191" s="422" t="s">
        <v>275</v>
      </c>
      <c r="B191" s="422"/>
      <c r="C191" s="106" t="s">
        <v>493</v>
      </c>
      <c r="D191" s="106">
        <v>0.4</v>
      </c>
      <c r="E191" s="106">
        <v>11.98</v>
      </c>
      <c r="F191" s="106">
        <v>0.4</v>
      </c>
      <c r="G191" s="423">
        <v>1</v>
      </c>
      <c r="H191" s="424"/>
      <c r="I191" s="107">
        <f t="shared" si="42"/>
        <v>1.9168000000000003</v>
      </c>
      <c r="J191" s="108"/>
    </row>
    <row r="192" spans="1:10" x14ac:dyDescent="0.3">
      <c r="A192" s="422" t="s">
        <v>275</v>
      </c>
      <c r="B192" s="422"/>
      <c r="C192" s="106" t="s">
        <v>492</v>
      </c>
      <c r="D192" s="106">
        <v>0.4</v>
      </c>
      <c r="E192" s="106">
        <v>11.98</v>
      </c>
      <c r="F192" s="106">
        <v>0.4</v>
      </c>
      <c r="G192" s="423">
        <v>1</v>
      </c>
      <c r="H192" s="424"/>
      <c r="I192" s="107">
        <f t="shared" si="42"/>
        <v>1.9168000000000003</v>
      </c>
      <c r="J192" s="108"/>
    </row>
    <row r="193" spans="1:10" x14ac:dyDescent="0.3">
      <c r="A193" s="422" t="s">
        <v>275</v>
      </c>
      <c r="B193" s="422"/>
      <c r="C193" s="106" t="s">
        <v>494</v>
      </c>
      <c r="D193" s="106">
        <v>0.4</v>
      </c>
      <c r="E193" s="106">
        <v>6.8</v>
      </c>
      <c r="F193" s="106">
        <v>0.4</v>
      </c>
      <c r="G193" s="423">
        <v>1</v>
      </c>
      <c r="H193" s="424"/>
      <c r="I193" s="107">
        <f t="shared" si="42"/>
        <v>1.0880000000000001</v>
      </c>
      <c r="J193" s="108"/>
    </row>
    <row r="194" spans="1:10" x14ac:dyDescent="0.3">
      <c r="A194" s="422" t="s">
        <v>275</v>
      </c>
      <c r="B194" s="422"/>
      <c r="C194" s="106" t="s">
        <v>495</v>
      </c>
      <c r="D194" s="106">
        <v>0.4</v>
      </c>
      <c r="E194" s="106">
        <v>2.2999999999999998</v>
      </c>
      <c r="F194" s="106">
        <v>0.4</v>
      </c>
      <c r="G194" s="423">
        <v>1</v>
      </c>
      <c r="H194" s="424"/>
      <c r="I194" s="107">
        <f t="shared" si="42"/>
        <v>0.36799999999999999</v>
      </c>
      <c r="J194" s="108"/>
    </row>
    <row r="195" spans="1:10" x14ac:dyDescent="0.3">
      <c r="A195" s="422" t="s">
        <v>275</v>
      </c>
      <c r="B195" s="422"/>
      <c r="C195" s="106" t="s">
        <v>496</v>
      </c>
      <c r="D195" s="106">
        <v>0.4</v>
      </c>
      <c r="E195" s="106">
        <v>2.2999999999999998</v>
      </c>
      <c r="F195" s="106">
        <v>0.4</v>
      </c>
      <c r="G195" s="423">
        <v>1</v>
      </c>
      <c r="H195" s="424"/>
      <c r="I195" s="107">
        <f t="shared" si="42"/>
        <v>0.36799999999999999</v>
      </c>
      <c r="J195" s="108"/>
    </row>
    <row r="196" spans="1:10" x14ac:dyDescent="0.3">
      <c r="A196" s="422" t="s">
        <v>275</v>
      </c>
      <c r="B196" s="422"/>
      <c r="C196" s="106" t="s">
        <v>497</v>
      </c>
      <c r="D196" s="106">
        <v>0.4</v>
      </c>
      <c r="E196" s="106">
        <v>6</v>
      </c>
      <c r="F196" s="106">
        <v>0.4</v>
      </c>
      <c r="G196" s="423">
        <v>1</v>
      </c>
      <c r="H196" s="424"/>
      <c r="I196" s="107">
        <f t="shared" si="42"/>
        <v>0.96000000000000019</v>
      </c>
      <c r="J196" s="108"/>
    </row>
    <row r="197" spans="1:10" x14ac:dyDescent="0.3">
      <c r="A197" s="422" t="s">
        <v>275</v>
      </c>
      <c r="B197" s="422"/>
      <c r="C197" s="106" t="s">
        <v>498</v>
      </c>
      <c r="D197" s="106">
        <v>0.4</v>
      </c>
      <c r="E197" s="106">
        <v>2.2999999999999998</v>
      </c>
      <c r="F197" s="106">
        <v>0.4</v>
      </c>
      <c r="G197" s="423">
        <v>1</v>
      </c>
      <c r="H197" s="424"/>
      <c r="I197" s="107">
        <f t="shared" ref="I197:I201" si="43">D197*E197*F197*G197</f>
        <v>0.36799999999999999</v>
      </c>
      <c r="J197" s="108"/>
    </row>
    <row r="198" spans="1:10" x14ac:dyDescent="0.3">
      <c r="A198" s="422" t="s">
        <v>275</v>
      </c>
      <c r="B198" s="422"/>
      <c r="C198" s="106" t="s">
        <v>499</v>
      </c>
      <c r="D198" s="106">
        <v>0.4</v>
      </c>
      <c r="E198" s="106">
        <v>2.2999999999999998</v>
      </c>
      <c r="F198" s="106">
        <v>0.4</v>
      </c>
      <c r="G198" s="423">
        <v>1</v>
      </c>
      <c r="H198" s="424"/>
      <c r="I198" s="107">
        <f t="shared" si="43"/>
        <v>0.36799999999999999</v>
      </c>
      <c r="J198" s="108"/>
    </row>
    <row r="199" spans="1:10" x14ac:dyDescent="0.3">
      <c r="A199" s="422" t="s">
        <v>275</v>
      </c>
      <c r="B199" s="422"/>
      <c r="C199" s="106" t="s">
        <v>500</v>
      </c>
      <c r="D199" s="106">
        <v>0.4</v>
      </c>
      <c r="E199" s="106">
        <v>2.2999999999999998</v>
      </c>
      <c r="F199" s="106">
        <v>0.4</v>
      </c>
      <c r="G199" s="423">
        <v>1</v>
      </c>
      <c r="H199" s="424"/>
      <c r="I199" s="107">
        <f t="shared" si="43"/>
        <v>0.36799999999999999</v>
      </c>
      <c r="J199" s="108"/>
    </row>
    <row r="200" spans="1:10" x14ac:dyDescent="0.3">
      <c r="A200" s="422" t="s">
        <v>275</v>
      </c>
      <c r="B200" s="422"/>
      <c r="C200" s="106" t="s">
        <v>501</v>
      </c>
      <c r="D200" s="106">
        <v>0.4</v>
      </c>
      <c r="E200" s="106">
        <v>2.5</v>
      </c>
      <c r="F200" s="106">
        <v>0.4</v>
      </c>
      <c r="G200" s="423">
        <v>2</v>
      </c>
      <c r="H200" s="424"/>
      <c r="I200" s="107">
        <f t="shared" si="43"/>
        <v>0.8</v>
      </c>
      <c r="J200" s="108"/>
    </row>
    <row r="201" spans="1:10" x14ac:dyDescent="0.3">
      <c r="A201" s="422" t="s">
        <v>275</v>
      </c>
      <c r="B201" s="422"/>
      <c r="C201" s="106" t="s">
        <v>502</v>
      </c>
      <c r="D201" s="106">
        <v>0.4</v>
      </c>
      <c r="E201" s="106">
        <v>12.65</v>
      </c>
      <c r="F201" s="106">
        <v>0.4</v>
      </c>
      <c r="G201" s="423">
        <v>1</v>
      </c>
      <c r="H201" s="424"/>
      <c r="I201" s="107">
        <f t="shared" si="43"/>
        <v>2.0240000000000005</v>
      </c>
      <c r="J201" s="108"/>
    </row>
    <row r="202" spans="1:10" x14ac:dyDescent="0.3">
      <c r="A202" s="425" t="s">
        <v>1</v>
      </c>
      <c r="B202" s="426"/>
      <c r="C202" s="426"/>
      <c r="D202" s="426"/>
      <c r="E202" s="426"/>
      <c r="F202" s="426"/>
      <c r="G202" s="426"/>
      <c r="H202" s="427"/>
      <c r="I202" s="109">
        <f>SUM(I186:I201)</f>
        <v>19.8704</v>
      </c>
    </row>
    <row r="203" spans="1:10" x14ac:dyDescent="0.3">
      <c r="A203" s="110"/>
      <c r="B203" s="110"/>
      <c r="C203" s="110"/>
      <c r="D203" s="110"/>
      <c r="E203" s="110"/>
      <c r="F203" s="110"/>
      <c r="G203" s="110"/>
      <c r="H203" s="110"/>
      <c r="I203" s="111"/>
    </row>
    <row r="204" spans="1:10" ht="14.4" customHeight="1" x14ac:dyDescent="0.3">
      <c r="A204" s="428" t="s">
        <v>12</v>
      </c>
      <c r="B204" s="428"/>
      <c r="C204" s="429" t="str">
        <f>VLOOKUP(A205,PRESUPUESTO!$A$14:$G$83,2,)</f>
        <v>Placa de contrapiso e=0.10m concreto 3000 PSI</v>
      </c>
      <c r="D204" s="430"/>
      <c r="E204" s="430"/>
      <c r="F204" s="430"/>
      <c r="G204" s="430"/>
      <c r="H204" s="431"/>
      <c r="I204" s="104" t="s">
        <v>14</v>
      </c>
    </row>
    <row r="205" spans="1:10" x14ac:dyDescent="0.3">
      <c r="A205" s="428">
        <v>3.6</v>
      </c>
      <c r="B205" s="428"/>
      <c r="C205" s="432"/>
      <c r="D205" s="433"/>
      <c r="E205" s="433"/>
      <c r="F205" s="433"/>
      <c r="G205" s="433"/>
      <c r="H205" s="434"/>
      <c r="I205" s="104" t="str">
        <f>VLOOKUP(A205,PRESUPUESTO!$A$14:$G$83,4,)</f>
        <v>M2</v>
      </c>
    </row>
    <row r="206" spans="1:10" ht="16.850000000000001" customHeight="1" x14ac:dyDescent="0.3">
      <c r="A206" s="428" t="s">
        <v>13</v>
      </c>
      <c r="B206" s="428"/>
      <c r="C206" s="428"/>
      <c r="D206" s="104" t="s">
        <v>72</v>
      </c>
      <c r="E206" s="104" t="s">
        <v>75</v>
      </c>
      <c r="F206" s="104" t="s">
        <v>76</v>
      </c>
      <c r="G206" s="435" t="s">
        <v>74</v>
      </c>
      <c r="H206" s="436"/>
      <c r="I206" s="104" t="s">
        <v>1</v>
      </c>
      <c r="J206" s="105"/>
    </row>
    <row r="207" spans="1:10" x14ac:dyDescent="0.3">
      <c r="A207" s="422" t="s">
        <v>477</v>
      </c>
      <c r="B207" s="422"/>
      <c r="C207" s="106" t="s">
        <v>473</v>
      </c>
      <c r="D207" s="106">
        <v>12.65</v>
      </c>
      <c r="E207" s="106">
        <v>11.98</v>
      </c>
      <c r="F207" s="106"/>
      <c r="G207" s="423">
        <v>1</v>
      </c>
      <c r="H207" s="424"/>
      <c r="I207" s="107">
        <f>D207*E207*G207</f>
        <v>151.547</v>
      </c>
      <c r="J207" s="108"/>
    </row>
    <row r="208" spans="1:10" x14ac:dyDescent="0.3">
      <c r="A208" s="422" t="s">
        <v>477</v>
      </c>
      <c r="B208" s="422"/>
      <c r="C208" s="106" t="s">
        <v>474</v>
      </c>
      <c r="D208" s="106">
        <v>2.5</v>
      </c>
      <c r="E208" s="106">
        <v>11.98</v>
      </c>
      <c r="F208" s="106"/>
      <c r="G208" s="423">
        <v>1</v>
      </c>
      <c r="H208" s="424"/>
      <c r="I208" s="107">
        <f>D208*E208*G208</f>
        <v>29.950000000000003</v>
      </c>
      <c r="J208" s="108"/>
    </row>
    <row r="209" spans="1:10" x14ac:dyDescent="0.3">
      <c r="A209" s="422" t="s">
        <v>477</v>
      </c>
      <c r="B209" s="422"/>
      <c r="C209" s="106" t="s">
        <v>578</v>
      </c>
      <c r="D209" s="106">
        <v>1</v>
      </c>
      <c r="E209" s="106">
        <v>15.1</v>
      </c>
      <c r="F209" s="106"/>
      <c r="G209" s="423">
        <v>1</v>
      </c>
      <c r="H209" s="424"/>
      <c r="I209" s="107">
        <f>D209*E209*G209</f>
        <v>15.1</v>
      </c>
      <c r="J209" s="108"/>
    </row>
    <row r="210" spans="1:10" x14ac:dyDescent="0.3">
      <c r="A210" s="422"/>
      <c r="B210" s="422"/>
      <c r="C210" s="106"/>
      <c r="D210" s="106"/>
      <c r="E210" s="106"/>
      <c r="F210" s="106"/>
      <c r="G210" s="423"/>
      <c r="H210" s="424"/>
      <c r="I210" s="107"/>
      <c r="J210" s="108"/>
    </row>
    <row r="211" spans="1:10" x14ac:dyDescent="0.3">
      <c r="A211" s="422"/>
      <c r="B211" s="422"/>
      <c r="C211" s="112"/>
      <c r="D211" s="106"/>
      <c r="E211" s="106"/>
      <c r="F211" s="106"/>
      <c r="G211" s="423"/>
      <c r="H211" s="424"/>
      <c r="I211" s="107"/>
      <c r="J211" s="108"/>
    </row>
    <row r="212" spans="1:10" x14ac:dyDescent="0.3">
      <c r="A212" s="422"/>
      <c r="B212" s="422"/>
      <c r="C212" s="112"/>
      <c r="D212" s="106"/>
      <c r="E212" s="106"/>
      <c r="F212" s="106"/>
      <c r="G212" s="423"/>
      <c r="H212" s="424"/>
      <c r="I212" s="107"/>
      <c r="J212" s="108"/>
    </row>
    <row r="213" spans="1:10" x14ac:dyDescent="0.3">
      <c r="A213" s="425" t="s">
        <v>1</v>
      </c>
      <c r="B213" s="426"/>
      <c r="C213" s="426"/>
      <c r="D213" s="426"/>
      <c r="E213" s="426"/>
      <c r="F213" s="426"/>
      <c r="G213" s="426"/>
      <c r="H213" s="427"/>
      <c r="I213" s="109">
        <f>SUM(I207:I212)</f>
        <v>196.59700000000001</v>
      </c>
    </row>
    <row r="214" spans="1:10" x14ac:dyDescent="0.3">
      <c r="A214" s="110"/>
      <c r="B214" s="110"/>
      <c r="C214" s="110"/>
      <c r="D214" s="110"/>
      <c r="E214" s="110"/>
      <c r="F214" s="110"/>
      <c r="G214" s="110"/>
      <c r="H214" s="110"/>
      <c r="I214" s="111"/>
    </row>
    <row r="215" spans="1:10" ht="14.4" customHeight="1" x14ac:dyDescent="0.3">
      <c r="A215" s="428" t="s">
        <v>12</v>
      </c>
      <c r="B215" s="428"/>
      <c r="C215" s="429" t="str">
        <f>VLOOKUP(A216,PRESUPUESTO!$A$14:$G$83,2,)</f>
        <v xml:space="preserve">Suministro e instalacion de tuberia hidraulica en PVC presion 3/4"  incluido accesorios   </v>
      </c>
      <c r="D215" s="430"/>
      <c r="E215" s="430"/>
      <c r="F215" s="430"/>
      <c r="G215" s="430"/>
      <c r="H215" s="431"/>
      <c r="I215" s="104" t="s">
        <v>14</v>
      </c>
    </row>
    <row r="216" spans="1:10" x14ac:dyDescent="0.3">
      <c r="A216" s="428">
        <v>4.0999999999999996</v>
      </c>
      <c r="B216" s="428"/>
      <c r="C216" s="432"/>
      <c r="D216" s="433"/>
      <c r="E216" s="433"/>
      <c r="F216" s="433"/>
      <c r="G216" s="433"/>
      <c r="H216" s="434"/>
      <c r="I216" s="104" t="str">
        <f>VLOOKUP(A216,PRESUPUESTO!$A$14:$G$83,4,)</f>
        <v>ML</v>
      </c>
    </row>
    <row r="217" spans="1:10" ht="16.850000000000001" customHeight="1" x14ac:dyDescent="0.3">
      <c r="A217" s="428" t="s">
        <v>13</v>
      </c>
      <c r="B217" s="428"/>
      <c r="C217" s="428"/>
      <c r="D217" s="104" t="s">
        <v>72</v>
      </c>
      <c r="E217" s="104" t="s">
        <v>75</v>
      </c>
      <c r="F217" s="104" t="s">
        <v>76</v>
      </c>
      <c r="G217" s="435" t="s">
        <v>74</v>
      </c>
      <c r="H217" s="436"/>
      <c r="I217" s="104" t="s">
        <v>1</v>
      </c>
      <c r="J217" s="105"/>
    </row>
    <row r="218" spans="1:10" x14ac:dyDescent="0.3">
      <c r="A218" s="422" t="s">
        <v>276</v>
      </c>
      <c r="B218" s="422"/>
      <c r="C218" s="106" t="s">
        <v>277</v>
      </c>
      <c r="D218" s="106"/>
      <c r="E218" s="106">
        <f>4.55+6.52+10.41+0.84+1.99+0.5+0.5+2.38+1.55+0.5+1.98+0.5+0.5+1.96+1.59+2.49+1.94+9.91+0.5+0.5+2.35+1.19+0.45+0.65+0.5+0.5+1.56+1.59</f>
        <v>60.400000000000006</v>
      </c>
      <c r="F218" s="106"/>
      <c r="G218" s="423">
        <v>1</v>
      </c>
      <c r="H218" s="424"/>
      <c r="I218" s="107">
        <f>E218*G218</f>
        <v>60.400000000000006</v>
      </c>
      <c r="J218" s="108"/>
    </row>
    <row r="219" spans="1:10" x14ac:dyDescent="0.3">
      <c r="A219" s="422"/>
      <c r="B219" s="422"/>
      <c r="C219" s="106"/>
      <c r="D219" s="106"/>
      <c r="E219" s="106"/>
      <c r="F219" s="106"/>
      <c r="G219" s="423"/>
      <c r="H219" s="424"/>
      <c r="I219" s="107"/>
      <c r="J219" s="108"/>
    </row>
    <row r="220" spans="1:10" x14ac:dyDescent="0.3">
      <c r="A220" s="422"/>
      <c r="B220" s="422"/>
      <c r="C220" s="106"/>
      <c r="D220" s="106"/>
      <c r="E220" s="106"/>
      <c r="F220" s="106"/>
      <c r="G220" s="423"/>
      <c r="H220" s="424"/>
      <c r="I220" s="107"/>
      <c r="J220" s="108"/>
    </row>
    <row r="221" spans="1:10" x14ac:dyDescent="0.3">
      <c r="A221" s="422"/>
      <c r="B221" s="422"/>
      <c r="C221" s="106"/>
      <c r="D221" s="106"/>
      <c r="E221" s="106"/>
      <c r="F221" s="106"/>
      <c r="G221" s="423"/>
      <c r="H221" s="424"/>
      <c r="I221" s="107"/>
      <c r="J221" s="108"/>
    </row>
    <row r="222" spans="1:10" x14ac:dyDescent="0.3">
      <c r="A222" s="422"/>
      <c r="B222" s="422"/>
      <c r="C222" s="106"/>
      <c r="D222" s="106"/>
      <c r="E222" s="106"/>
      <c r="F222" s="106"/>
      <c r="G222" s="423"/>
      <c r="H222" s="424"/>
      <c r="I222" s="107"/>
      <c r="J222" s="108"/>
    </row>
    <row r="223" spans="1:10" x14ac:dyDescent="0.3">
      <c r="A223" s="422"/>
      <c r="B223" s="422"/>
      <c r="C223" s="112"/>
      <c r="D223" s="106"/>
      <c r="E223" s="106"/>
      <c r="F223" s="106"/>
      <c r="G223" s="423"/>
      <c r="H223" s="424"/>
      <c r="I223" s="107"/>
      <c r="J223" s="108"/>
    </row>
    <row r="224" spans="1:10" x14ac:dyDescent="0.3">
      <c r="A224" s="422"/>
      <c r="B224" s="422"/>
      <c r="C224" s="112"/>
      <c r="D224" s="106"/>
      <c r="E224" s="106"/>
      <c r="F224" s="106"/>
      <c r="G224" s="423"/>
      <c r="H224" s="424"/>
      <c r="I224" s="107"/>
      <c r="J224" s="108"/>
    </row>
    <row r="225" spans="1:10" x14ac:dyDescent="0.3">
      <c r="A225" s="425" t="s">
        <v>1</v>
      </c>
      <c r="B225" s="426"/>
      <c r="C225" s="426"/>
      <c r="D225" s="426"/>
      <c r="E225" s="426"/>
      <c r="F225" s="426"/>
      <c r="G225" s="426"/>
      <c r="H225" s="427"/>
      <c r="I225" s="109">
        <f>SUM(I218:I224)</f>
        <v>60.400000000000006</v>
      </c>
    </row>
    <row r="226" spans="1:10" x14ac:dyDescent="0.3">
      <c r="A226" s="110"/>
      <c r="B226" s="110"/>
      <c r="C226" s="110"/>
      <c r="D226" s="110"/>
      <c r="E226" s="110"/>
      <c r="F226" s="110"/>
      <c r="G226" s="110"/>
      <c r="H226" s="110"/>
      <c r="I226" s="111"/>
    </row>
    <row r="227" spans="1:10" ht="14.4" customHeight="1" x14ac:dyDescent="0.3">
      <c r="A227" s="428" t="s">
        <v>12</v>
      </c>
      <c r="B227" s="428"/>
      <c r="C227" s="429" t="str">
        <f>VLOOKUP(A228,PRESUPUESTO!$A$14:$G$83,2,)</f>
        <v xml:space="preserve">Suministro e instalacion de tuberia hidraulica en PVC presion 1/2"  incluido accesorios   </v>
      </c>
      <c r="D227" s="430"/>
      <c r="E227" s="430"/>
      <c r="F227" s="430"/>
      <c r="G227" s="430"/>
      <c r="H227" s="431"/>
      <c r="I227" s="104" t="s">
        <v>14</v>
      </c>
    </row>
    <row r="228" spans="1:10" x14ac:dyDescent="0.3">
      <c r="A228" s="428">
        <v>4.2</v>
      </c>
      <c r="B228" s="428"/>
      <c r="C228" s="432"/>
      <c r="D228" s="433"/>
      <c r="E228" s="433"/>
      <c r="F228" s="433"/>
      <c r="G228" s="433"/>
      <c r="H228" s="434"/>
      <c r="I228" s="104" t="str">
        <f>VLOOKUP(A228,PRESUPUESTO!$A$14:$G$83,4,)</f>
        <v>ML</v>
      </c>
    </row>
    <row r="229" spans="1:10" ht="16.850000000000001" customHeight="1" x14ac:dyDescent="0.3">
      <c r="A229" s="428" t="s">
        <v>13</v>
      </c>
      <c r="B229" s="428"/>
      <c r="C229" s="428"/>
      <c r="D229" s="104" t="s">
        <v>72</v>
      </c>
      <c r="E229" s="104" t="s">
        <v>75</v>
      </c>
      <c r="F229" s="104" t="s">
        <v>76</v>
      </c>
      <c r="G229" s="435" t="s">
        <v>74</v>
      </c>
      <c r="H229" s="436"/>
      <c r="I229" s="104" t="s">
        <v>1</v>
      </c>
      <c r="J229" s="105"/>
    </row>
    <row r="230" spans="1:10" x14ac:dyDescent="0.3">
      <c r="A230" s="422" t="s">
        <v>276</v>
      </c>
      <c r="B230" s="422"/>
      <c r="C230" s="106" t="s">
        <v>583</v>
      </c>
      <c r="D230" s="106"/>
      <c r="E230" s="106">
        <v>2.1</v>
      </c>
      <c r="F230" s="106"/>
      <c r="G230" s="423">
        <v>4</v>
      </c>
      <c r="H230" s="424"/>
      <c r="I230" s="107">
        <f>E230*G230</f>
        <v>8.4</v>
      </c>
      <c r="J230" s="108"/>
    </row>
    <row r="231" spans="1:10" x14ac:dyDescent="0.3">
      <c r="A231" s="422" t="s">
        <v>276</v>
      </c>
      <c r="B231" s="422"/>
      <c r="C231" s="106" t="s">
        <v>584</v>
      </c>
      <c r="D231" s="106"/>
      <c r="E231" s="106">
        <f>0.25+0.6</f>
        <v>0.85</v>
      </c>
      <c r="F231" s="106"/>
      <c r="G231" s="423">
        <v>4</v>
      </c>
      <c r="H231" s="424"/>
      <c r="I231" s="107">
        <f>E231*G231</f>
        <v>3.4</v>
      </c>
      <c r="J231" s="108"/>
    </row>
    <row r="232" spans="1:10" x14ac:dyDescent="0.3">
      <c r="A232" s="422" t="s">
        <v>276</v>
      </c>
      <c r="B232" s="422"/>
      <c r="C232" s="106" t="s">
        <v>585</v>
      </c>
      <c r="D232" s="106"/>
      <c r="E232" s="106">
        <f>0.25+0.45</f>
        <v>0.7</v>
      </c>
      <c r="F232" s="106"/>
      <c r="G232" s="423">
        <v>4</v>
      </c>
      <c r="H232" s="424"/>
      <c r="I232" s="107">
        <f>E232*G232</f>
        <v>2.8</v>
      </c>
      <c r="J232" s="108"/>
    </row>
    <row r="233" spans="1:10" x14ac:dyDescent="0.3">
      <c r="A233" s="422"/>
      <c r="B233" s="422"/>
      <c r="C233" s="106"/>
      <c r="D233" s="106"/>
      <c r="E233" s="106"/>
      <c r="F233" s="106"/>
      <c r="G233" s="423"/>
      <c r="H233" s="424"/>
      <c r="I233" s="107"/>
      <c r="J233" s="108"/>
    </row>
    <row r="234" spans="1:10" x14ac:dyDescent="0.3">
      <c r="A234" s="422"/>
      <c r="B234" s="422"/>
      <c r="C234" s="106"/>
      <c r="D234" s="106"/>
      <c r="E234" s="106"/>
      <c r="F234" s="106"/>
      <c r="G234" s="423"/>
      <c r="H234" s="424"/>
      <c r="I234" s="107"/>
      <c r="J234" s="108"/>
    </row>
    <row r="235" spans="1:10" x14ac:dyDescent="0.3">
      <c r="A235" s="422"/>
      <c r="B235" s="422"/>
      <c r="C235" s="112"/>
      <c r="D235" s="106"/>
      <c r="E235" s="106"/>
      <c r="F235" s="106"/>
      <c r="G235" s="423"/>
      <c r="H235" s="424"/>
      <c r="I235" s="107"/>
      <c r="J235" s="108"/>
    </row>
    <row r="236" spans="1:10" x14ac:dyDescent="0.3">
      <c r="A236" s="422"/>
      <c r="B236" s="422"/>
      <c r="C236" s="112"/>
      <c r="D236" s="106"/>
      <c r="E236" s="106"/>
      <c r="F236" s="106"/>
      <c r="G236" s="423"/>
      <c r="H236" s="424"/>
      <c r="I236" s="107"/>
      <c r="J236" s="108"/>
    </row>
    <row r="237" spans="1:10" x14ac:dyDescent="0.3">
      <c r="A237" s="425" t="s">
        <v>1</v>
      </c>
      <c r="B237" s="426"/>
      <c r="C237" s="426"/>
      <c r="D237" s="426"/>
      <c r="E237" s="426"/>
      <c r="F237" s="426"/>
      <c r="G237" s="426"/>
      <c r="H237" s="427"/>
      <c r="I237" s="109">
        <f>SUM(I230:I236)</f>
        <v>14.600000000000001</v>
      </c>
    </row>
    <row r="238" spans="1:10" x14ac:dyDescent="0.3">
      <c r="A238" s="110"/>
      <c r="B238" s="110"/>
      <c r="C238" s="110"/>
      <c r="D238" s="110"/>
      <c r="E238" s="110"/>
      <c r="F238" s="110"/>
      <c r="G238" s="110"/>
      <c r="H238" s="110"/>
      <c r="I238" s="111"/>
    </row>
    <row r="239" spans="1:10" ht="14.4" customHeight="1" x14ac:dyDescent="0.3">
      <c r="A239" s="428" t="s">
        <v>12</v>
      </c>
      <c r="B239" s="428"/>
      <c r="C239" s="429" t="str">
        <f>VLOOKUP(A240,PRESUPUESTO!$A$14:$G$83,2,)</f>
        <v xml:space="preserve">Suministro e instalacion de  tubieria sanitaria en PVC 4" incluido accesorios </v>
      </c>
      <c r="D239" s="430"/>
      <c r="E239" s="430"/>
      <c r="F239" s="430"/>
      <c r="G239" s="430"/>
      <c r="H239" s="431"/>
      <c r="I239" s="104" t="s">
        <v>14</v>
      </c>
    </row>
    <row r="240" spans="1:10" x14ac:dyDescent="0.3">
      <c r="A240" s="428">
        <v>4.3</v>
      </c>
      <c r="B240" s="428"/>
      <c r="C240" s="432"/>
      <c r="D240" s="433"/>
      <c r="E240" s="433"/>
      <c r="F240" s="433"/>
      <c r="G240" s="433"/>
      <c r="H240" s="434"/>
      <c r="I240" s="104" t="str">
        <f>VLOOKUP(A240,PRESUPUESTO!$A$14:$G$83,4,)</f>
        <v>ML</v>
      </c>
    </row>
    <row r="241" spans="1:10" ht="16.850000000000001" customHeight="1" x14ac:dyDescent="0.3">
      <c r="A241" s="428" t="s">
        <v>13</v>
      </c>
      <c r="B241" s="428"/>
      <c r="C241" s="428"/>
      <c r="D241" s="104" t="s">
        <v>72</v>
      </c>
      <c r="E241" s="104" t="s">
        <v>75</v>
      </c>
      <c r="F241" s="104" t="s">
        <v>76</v>
      </c>
      <c r="G241" s="435" t="s">
        <v>74</v>
      </c>
      <c r="H241" s="436"/>
      <c r="I241" s="104" t="s">
        <v>1</v>
      </c>
      <c r="J241" s="105"/>
    </row>
    <row r="242" spans="1:10" x14ac:dyDescent="0.3">
      <c r="A242" s="422" t="s">
        <v>278</v>
      </c>
      <c r="B242" s="422"/>
      <c r="C242" s="106" t="s">
        <v>279</v>
      </c>
      <c r="D242" s="106"/>
      <c r="E242" s="106">
        <f>1.41+1.6+2.52+12.39+3.57+9.57+0.65+0.63+1.18+6+11.42</f>
        <v>50.940000000000005</v>
      </c>
      <c r="F242" s="106"/>
      <c r="G242" s="423">
        <v>1</v>
      </c>
      <c r="H242" s="424"/>
      <c r="I242" s="107">
        <f>E242*G242</f>
        <v>50.940000000000005</v>
      </c>
      <c r="J242" s="108"/>
    </row>
    <row r="243" spans="1:10" x14ac:dyDescent="0.3">
      <c r="A243" s="422"/>
      <c r="B243" s="422"/>
      <c r="C243" s="106"/>
      <c r="D243" s="106"/>
      <c r="E243" s="106"/>
      <c r="F243" s="106"/>
      <c r="G243" s="423"/>
      <c r="H243" s="424"/>
      <c r="I243" s="107"/>
      <c r="J243" s="108"/>
    </row>
    <row r="244" spans="1:10" x14ac:dyDescent="0.3">
      <c r="A244" s="422"/>
      <c r="B244" s="422"/>
      <c r="C244" s="106"/>
      <c r="D244" s="106"/>
      <c r="E244" s="106"/>
      <c r="F244" s="106"/>
      <c r="G244" s="423"/>
      <c r="H244" s="424"/>
      <c r="I244" s="107"/>
      <c r="J244" s="108"/>
    </row>
    <row r="245" spans="1:10" x14ac:dyDescent="0.3">
      <c r="A245" s="422"/>
      <c r="B245" s="422"/>
      <c r="C245" s="106"/>
      <c r="D245" s="106"/>
      <c r="E245" s="106"/>
      <c r="F245" s="106"/>
      <c r="G245" s="423"/>
      <c r="H245" s="424"/>
      <c r="I245" s="107"/>
      <c r="J245" s="108"/>
    </row>
    <row r="246" spans="1:10" x14ac:dyDescent="0.3">
      <c r="A246" s="422"/>
      <c r="B246" s="422"/>
      <c r="C246" s="106"/>
      <c r="D246" s="106"/>
      <c r="E246" s="106"/>
      <c r="F246" s="106"/>
      <c r="G246" s="423"/>
      <c r="H246" s="424"/>
      <c r="I246" s="107"/>
      <c r="J246" s="108"/>
    </row>
    <row r="247" spans="1:10" x14ac:dyDescent="0.3">
      <c r="A247" s="422"/>
      <c r="B247" s="422"/>
      <c r="C247" s="112"/>
      <c r="D247" s="106"/>
      <c r="E247" s="106"/>
      <c r="F247" s="106"/>
      <c r="G247" s="423"/>
      <c r="H247" s="424"/>
      <c r="I247" s="107"/>
      <c r="J247" s="108"/>
    </row>
    <row r="248" spans="1:10" x14ac:dyDescent="0.3">
      <c r="A248" s="422"/>
      <c r="B248" s="422"/>
      <c r="C248" s="112"/>
      <c r="D248" s="106"/>
      <c r="E248" s="106"/>
      <c r="F248" s="106"/>
      <c r="G248" s="423"/>
      <c r="H248" s="424"/>
      <c r="I248" s="107"/>
      <c r="J248" s="108"/>
    </row>
    <row r="249" spans="1:10" x14ac:dyDescent="0.3">
      <c r="A249" s="425" t="s">
        <v>1</v>
      </c>
      <c r="B249" s="426"/>
      <c r="C249" s="426"/>
      <c r="D249" s="426"/>
      <c r="E249" s="426"/>
      <c r="F249" s="426"/>
      <c r="G249" s="426"/>
      <c r="H249" s="427"/>
      <c r="I249" s="109">
        <f>SUM(I242:I248)</f>
        <v>50.940000000000005</v>
      </c>
    </row>
    <row r="250" spans="1:10" x14ac:dyDescent="0.3">
      <c r="A250" s="110"/>
      <c r="B250" s="110"/>
      <c r="C250" s="110"/>
      <c r="D250" s="110"/>
      <c r="E250" s="110"/>
      <c r="F250" s="110"/>
      <c r="G250" s="110"/>
      <c r="H250" s="110"/>
      <c r="I250" s="111"/>
    </row>
    <row r="251" spans="1:10" ht="14.4" customHeight="1" x14ac:dyDescent="0.3">
      <c r="A251" s="428" t="s">
        <v>12</v>
      </c>
      <c r="B251" s="428"/>
      <c r="C251" s="429" t="str">
        <f>VLOOKUP(A252,PRESUPUESTO!$A$14:$G$83,2,)</f>
        <v xml:space="preserve">Suministro e instalacion de  tubieria sanitaria en PVC 2" incluido accesorios </v>
      </c>
      <c r="D251" s="430"/>
      <c r="E251" s="430"/>
      <c r="F251" s="430"/>
      <c r="G251" s="430"/>
      <c r="H251" s="431"/>
      <c r="I251" s="104" t="s">
        <v>14</v>
      </c>
    </row>
    <row r="252" spans="1:10" x14ac:dyDescent="0.3">
      <c r="A252" s="428">
        <v>4.4000000000000004</v>
      </c>
      <c r="B252" s="428"/>
      <c r="C252" s="432"/>
      <c r="D252" s="433"/>
      <c r="E252" s="433"/>
      <c r="F252" s="433"/>
      <c r="G252" s="433"/>
      <c r="H252" s="434"/>
      <c r="I252" s="104" t="str">
        <f>VLOOKUP(A252,PRESUPUESTO!$A$14:$G$83,4,)</f>
        <v>ML</v>
      </c>
    </row>
    <row r="253" spans="1:10" ht="16.850000000000001" customHeight="1" x14ac:dyDescent="0.3">
      <c r="A253" s="428" t="s">
        <v>13</v>
      </c>
      <c r="B253" s="428"/>
      <c r="C253" s="428"/>
      <c r="D253" s="104" t="s">
        <v>72</v>
      </c>
      <c r="E253" s="104" t="s">
        <v>75</v>
      </c>
      <c r="F253" s="104" t="s">
        <v>76</v>
      </c>
      <c r="G253" s="435" t="s">
        <v>74</v>
      </c>
      <c r="H253" s="436"/>
      <c r="I253" s="104" t="s">
        <v>1</v>
      </c>
      <c r="J253" s="105"/>
    </row>
    <row r="254" spans="1:10" x14ac:dyDescent="0.3">
      <c r="A254" s="422" t="s">
        <v>278</v>
      </c>
      <c r="B254" s="422"/>
      <c r="C254" s="106" t="s">
        <v>279</v>
      </c>
      <c r="D254" s="106"/>
      <c r="E254" s="106">
        <f>0.85+1.67+1.07+2.22+0.56+6.08+1.66+0.34+1.1+1.1+0.33+1.66</f>
        <v>18.64</v>
      </c>
      <c r="F254" s="106"/>
      <c r="G254" s="423">
        <v>1</v>
      </c>
      <c r="H254" s="424"/>
      <c r="I254" s="107">
        <f>E254*G254</f>
        <v>18.64</v>
      </c>
      <c r="J254" s="108"/>
    </row>
    <row r="255" spans="1:10" x14ac:dyDescent="0.3">
      <c r="A255" s="422"/>
      <c r="B255" s="422"/>
      <c r="C255" s="106"/>
      <c r="D255" s="106"/>
      <c r="E255" s="106"/>
      <c r="F255" s="106"/>
      <c r="G255" s="423"/>
      <c r="H255" s="424"/>
      <c r="I255" s="107"/>
      <c r="J255" s="108"/>
    </row>
    <row r="256" spans="1:10" x14ac:dyDescent="0.3">
      <c r="A256" s="422"/>
      <c r="B256" s="422"/>
      <c r="C256" s="106"/>
      <c r="D256" s="106"/>
      <c r="E256" s="106"/>
      <c r="F256" s="106"/>
      <c r="G256" s="423"/>
      <c r="H256" s="424"/>
      <c r="I256" s="107"/>
      <c r="J256" s="108"/>
    </row>
    <row r="257" spans="1:10" x14ac:dyDescent="0.3">
      <c r="A257" s="422"/>
      <c r="B257" s="422"/>
      <c r="C257" s="106"/>
      <c r="D257" s="106"/>
      <c r="E257" s="106"/>
      <c r="F257" s="106"/>
      <c r="G257" s="423"/>
      <c r="H257" s="424"/>
      <c r="I257" s="107"/>
      <c r="J257" s="108"/>
    </row>
    <row r="258" spans="1:10" x14ac:dyDescent="0.3">
      <c r="A258" s="422"/>
      <c r="B258" s="422"/>
      <c r="C258" s="106"/>
      <c r="D258" s="106"/>
      <c r="E258" s="106"/>
      <c r="F258" s="106"/>
      <c r="G258" s="423"/>
      <c r="H258" s="424"/>
      <c r="I258" s="107"/>
      <c r="J258" s="108"/>
    </row>
    <row r="259" spans="1:10" x14ac:dyDescent="0.3">
      <c r="A259" s="422"/>
      <c r="B259" s="422"/>
      <c r="C259" s="112"/>
      <c r="D259" s="106"/>
      <c r="E259" s="106"/>
      <c r="F259" s="106"/>
      <c r="G259" s="423"/>
      <c r="H259" s="424"/>
      <c r="I259" s="107"/>
      <c r="J259" s="108"/>
    </row>
    <row r="260" spans="1:10" x14ac:dyDescent="0.3">
      <c r="A260" s="422"/>
      <c r="B260" s="422"/>
      <c r="C260" s="112"/>
      <c r="D260" s="106"/>
      <c r="E260" s="106"/>
      <c r="F260" s="106"/>
      <c r="G260" s="423"/>
      <c r="H260" s="424"/>
      <c r="I260" s="107"/>
      <c r="J260" s="108"/>
    </row>
    <row r="261" spans="1:10" x14ac:dyDescent="0.3">
      <c r="A261" s="425" t="s">
        <v>1</v>
      </c>
      <c r="B261" s="426"/>
      <c r="C261" s="426"/>
      <c r="D261" s="426"/>
      <c r="E261" s="426"/>
      <c r="F261" s="426"/>
      <c r="G261" s="426"/>
      <c r="H261" s="427"/>
      <c r="I261" s="109">
        <f>SUM(I254:I260)</f>
        <v>18.64</v>
      </c>
    </row>
    <row r="262" spans="1:10" x14ac:dyDescent="0.3">
      <c r="A262" s="110"/>
      <c r="B262" s="110"/>
      <c r="C262" s="110"/>
      <c r="D262" s="110"/>
      <c r="E262" s="110"/>
      <c r="F262" s="110"/>
      <c r="G262" s="110"/>
      <c r="H262" s="110"/>
      <c r="I262" s="111"/>
    </row>
    <row r="263" spans="1:10" ht="14.4" customHeight="1" x14ac:dyDescent="0.3">
      <c r="A263" s="428" t="s">
        <v>12</v>
      </c>
      <c r="B263" s="428"/>
      <c r="C263" s="429" t="str">
        <f>VLOOKUP(A264,PRESUPUESTO!$A$14:$G$83,2,)</f>
        <v xml:space="preserve">construccion de caja de inspeccion sanitaria de (80X80) en mamposteria incluye tapa en concreto </v>
      </c>
      <c r="D263" s="430"/>
      <c r="E263" s="430"/>
      <c r="F263" s="430"/>
      <c r="G263" s="430"/>
      <c r="H263" s="431"/>
      <c r="I263" s="104" t="s">
        <v>14</v>
      </c>
    </row>
    <row r="264" spans="1:10" x14ac:dyDescent="0.3">
      <c r="A264" s="428">
        <v>4.5</v>
      </c>
      <c r="B264" s="428"/>
      <c r="C264" s="432"/>
      <c r="D264" s="433"/>
      <c r="E264" s="433"/>
      <c r="F264" s="433"/>
      <c r="G264" s="433"/>
      <c r="H264" s="434"/>
      <c r="I264" s="104" t="str">
        <f>VLOOKUP(A264,PRESUPUESTO!$A$14:$G$83,4,)</f>
        <v>UND</v>
      </c>
    </row>
    <row r="265" spans="1:10" ht="16.850000000000001" customHeight="1" x14ac:dyDescent="0.3">
      <c r="A265" s="428" t="s">
        <v>13</v>
      </c>
      <c r="B265" s="428"/>
      <c r="C265" s="428"/>
      <c r="D265" s="104" t="s">
        <v>72</v>
      </c>
      <c r="E265" s="104" t="s">
        <v>75</v>
      </c>
      <c r="F265" s="104" t="s">
        <v>76</v>
      </c>
      <c r="G265" s="435" t="s">
        <v>74</v>
      </c>
      <c r="H265" s="436"/>
      <c r="I265" s="104" t="s">
        <v>1</v>
      </c>
      <c r="J265" s="105"/>
    </row>
    <row r="266" spans="1:10" x14ac:dyDescent="0.3">
      <c r="A266" s="422" t="s">
        <v>280</v>
      </c>
      <c r="B266" s="422"/>
      <c r="C266" s="106" t="s">
        <v>281</v>
      </c>
      <c r="D266" s="106"/>
      <c r="E266" s="106"/>
      <c r="F266" s="106"/>
      <c r="G266" s="423">
        <v>3</v>
      </c>
      <c r="H266" s="424"/>
      <c r="I266" s="107">
        <f>G266</f>
        <v>3</v>
      </c>
      <c r="J266" s="108"/>
    </row>
    <row r="267" spans="1:10" x14ac:dyDescent="0.3">
      <c r="A267" s="422"/>
      <c r="B267" s="422"/>
      <c r="C267" s="106"/>
      <c r="D267" s="106"/>
      <c r="E267" s="106"/>
      <c r="F267" s="106"/>
      <c r="G267" s="423"/>
      <c r="H267" s="424"/>
      <c r="I267" s="107"/>
      <c r="J267" s="108"/>
    </row>
    <row r="268" spans="1:10" x14ac:dyDescent="0.3">
      <c r="A268" s="422"/>
      <c r="B268" s="422"/>
      <c r="C268" s="106"/>
      <c r="D268" s="106"/>
      <c r="E268" s="106"/>
      <c r="F268" s="106"/>
      <c r="G268" s="423"/>
      <c r="H268" s="424"/>
      <c r="I268" s="107"/>
      <c r="J268" s="108"/>
    </row>
    <row r="269" spans="1:10" x14ac:dyDescent="0.3">
      <c r="A269" s="422"/>
      <c r="B269" s="422"/>
      <c r="C269" s="106"/>
      <c r="D269" s="106"/>
      <c r="E269" s="106"/>
      <c r="F269" s="106"/>
      <c r="G269" s="423"/>
      <c r="H269" s="424"/>
      <c r="I269" s="107"/>
      <c r="J269" s="108"/>
    </row>
    <row r="270" spans="1:10" x14ac:dyDescent="0.3">
      <c r="A270" s="422"/>
      <c r="B270" s="422"/>
      <c r="C270" s="106"/>
      <c r="D270" s="106"/>
      <c r="E270" s="106"/>
      <c r="F270" s="106"/>
      <c r="G270" s="423"/>
      <c r="H270" s="424"/>
      <c r="I270" s="107"/>
      <c r="J270" s="108"/>
    </row>
    <row r="271" spans="1:10" x14ac:dyDescent="0.3">
      <c r="A271" s="422"/>
      <c r="B271" s="422"/>
      <c r="C271" s="112"/>
      <c r="D271" s="106"/>
      <c r="E271" s="106"/>
      <c r="F271" s="106"/>
      <c r="G271" s="423"/>
      <c r="H271" s="424"/>
      <c r="I271" s="107"/>
      <c r="J271" s="108"/>
    </row>
    <row r="272" spans="1:10" x14ac:dyDescent="0.3">
      <c r="A272" s="422"/>
      <c r="B272" s="422"/>
      <c r="C272" s="112"/>
      <c r="D272" s="106"/>
      <c r="E272" s="106"/>
      <c r="F272" s="106"/>
      <c r="G272" s="423"/>
      <c r="H272" s="424"/>
      <c r="I272" s="107"/>
      <c r="J272" s="108"/>
    </row>
    <row r="273" spans="1:10" x14ac:dyDescent="0.3">
      <c r="A273" s="425" t="s">
        <v>1</v>
      </c>
      <c r="B273" s="426"/>
      <c r="C273" s="426"/>
      <c r="D273" s="426"/>
      <c r="E273" s="426"/>
      <c r="F273" s="426"/>
      <c r="G273" s="426"/>
      <c r="H273" s="427"/>
      <c r="I273" s="109">
        <f>SUM(I266:I272)</f>
        <v>3</v>
      </c>
    </row>
    <row r="274" spans="1:10" x14ac:dyDescent="0.3">
      <c r="A274" s="110"/>
      <c r="B274" s="110"/>
      <c r="C274" s="110"/>
      <c r="D274" s="110"/>
      <c r="E274" s="110"/>
      <c r="F274" s="110"/>
      <c r="G274" s="110"/>
      <c r="H274" s="110"/>
      <c r="I274" s="111"/>
    </row>
    <row r="275" spans="1:10" ht="14.4" customHeight="1" x14ac:dyDescent="0.3">
      <c r="A275" s="428" t="s">
        <v>12</v>
      </c>
      <c r="B275" s="428"/>
      <c r="C275" s="429" t="str">
        <f>VLOOKUP(A276,PRESUPUESTO!$A$14:$G$83,2,)</f>
        <v>Punto Sanitario 2"</v>
      </c>
      <c r="D275" s="430"/>
      <c r="E275" s="430"/>
      <c r="F275" s="430"/>
      <c r="G275" s="430"/>
      <c r="H275" s="431"/>
      <c r="I275" s="104" t="s">
        <v>14</v>
      </c>
    </row>
    <row r="276" spans="1:10" x14ac:dyDescent="0.3">
      <c r="A276" s="428">
        <v>4.5999999999999996</v>
      </c>
      <c r="B276" s="428"/>
      <c r="C276" s="432"/>
      <c r="D276" s="433"/>
      <c r="E276" s="433"/>
      <c r="F276" s="433"/>
      <c r="G276" s="433"/>
      <c r="H276" s="434"/>
      <c r="I276" s="104" t="str">
        <f>VLOOKUP(A276,PRESUPUESTO!$A$14:$G$83,4,)</f>
        <v>UND</v>
      </c>
    </row>
    <row r="277" spans="1:10" ht="16.850000000000001" customHeight="1" x14ac:dyDescent="0.3">
      <c r="A277" s="428" t="s">
        <v>13</v>
      </c>
      <c r="B277" s="428"/>
      <c r="C277" s="428"/>
      <c r="D277" s="104" t="s">
        <v>72</v>
      </c>
      <c r="E277" s="104" t="s">
        <v>75</v>
      </c>
      <c r="F277" s="104" t="s">
        <v>76</v>
      </c>
      <c r="G277" s="435" t="s">
        <v>74</v>
      </c>
      <c r="H277" s="436"/>
      <c r="I277" s="104" t="s">
        <v>1</v>
      </c>
      <c r="J277" s="105"/>
    </row>
    <row r="278" spans="1:10" x14ac:dyDescent="0.3">
      <c r="A278" s="422" t="s">
        <v>290</v>
      </c>
      <c r="B278" s="422"/>
      <c r="C278" s="106" t="s">
        <v>291</v>
      </c>
      <c r="D278" s="106"/>
      <c r="E278" s="106"/>
      <c r="F278" s="106"/>
      <c r="G278" s="423">
        <v>4</v>
      </c>
      <c r="H278" s="424"/>
      <c r="I278" s="107">
        <f>G278</f>
        <v>4</v>
      </c>
      <c r="J278" s="108"/>
    </row>
    <row r="279" spans="1:10" x14ac:dyDescent="0.3">
      <c r="A279" s="422" t="s">
        <v>290</v>
      </c>
      <c r="B279" s="422"/>
      <c r="C279" s="106" t="s">
        <v>292</v>
      </c>
      <c r="D279" s="106"/>
      <c r="E279" s="106"/>
      <c r="F279" s="106"/>
      <c r="G279" s="423">
        <v>4</v>
      </c>
      <c r="H279" s="424"/>
      <c r="I279" s="107">
        <f>G279</f>
        <v>4</v>
      </c>
      <c r="J279" s="108"/>
    </row>
    <row r="280" spans="1:10" x14ac:dyDescent="0.3">
      <c r="A280" s="422" t="s">
        <v>290</v>
      </c>
      <c r="B280" s="422"/>
      <c r="C280" s="106" t="s">
        <v>586</v>
      </c>
      <c r="D280" s="106"/>
      <c r="E280" s="106"/>
      <c r="F280" s="106"/>
      <c r="G280" s="423">
        <v>4</v>
      </c>
      <c r="H280" s="424"/>
      <c r="I280" s="107">
        <f>G280</f>
        <v>4</v>
      </c>
      <c r="J280" s="108"/>
    </row>
    <row r="281" spans="1:10" x14ac:dyDescent="0.3">
      <c r="A281" s="422"/>
      <c r="B281" s="422"/>
      <c r="C281" s="106"/>
      <c r="D281" s="106"/>
      <c r="E281" s="106"/>
      <c r="F281" s="106"/>
      <c r="G281" s="423"/>
      <c r="H281" s="424"/>
      <c r="I281" s="107"/>
      <c r="J281" s="108"/>
    </row>
    <row r="282" spans="1:10" x14ac:dyDescent="0.3">
      <c r="A282" s="422"/>
      <c r="B282" s="422"/>
      <c r="C282" s="106"/>
      <c r="D282" s="106"/>
      <c r="E282" s="106"/>
      <c r="F282" s="106"/>
      <c r="G282" s="423"/>
      <c r="H282" s="424"/>
      <c r="I282" s="107"/>
      <c r="J282" s="108"/>
    </row>
    <row r="283" spans="1:10" x14ac:dyDescent="0.3">
      <c r="A283" s="422"/>
      <c r="B283" s="422"/>
      <c r="C283" s="112"/>
      <c r="D283" s="106"/>
      <c r="E283" s="106"/>
      <c r="F283" s="106"/>
      <c r="G283" s="423"/>
      <c r="H283" s="424"/>
      <c r="I283" s="107"/>
      <c r="J283" s="108"/>
    </row>
    <row r="284" spans="1:10" x14ac:dyDescent="0.3">
      <c r="A284" s="422"/>
      <c r="B284" s="422"/>
      <c r="C284" s="112"/>
      <c r="D284" s="106"/>
      <c r="E284" s="106"/>
      <c r="F284" s="106"/>
      <c r="G284" s="423"/>
      <c r="H284" s="424"/>
      <c r="I284" s="107"/>
      <c r="J284" s="108"/>
    </row>
    <row r="285" spans="1:10" x14ac:dyDescent="0.3">
      <c r="A285" s="425" t="s">
        <v>1</v>
      </c>
      <c r="B285" s="426"/>
      <c r="C285" s="426"/>
      <c r="D285" s="426"/>
      <c r="E285" s="426"/>
      <c r="F285" s="426"/>
      <c r="G285" s="426"/>
      <c r="H285" s="427"/>
      <c r="I285" s="109">
        <f>SUM(I278:I284)</f>
        <v>12</v>
      </c>
    </row>
    <row r="286" spans="1:10" x14ac:dyDescent="0.3">
      <c r="A286" s="110"/>
      <c r="B286" s="110"/>
      <c r="C286" s="110"/>
      <c r="D286" s="110"/>
      <c r="E286" s="110"/>
      <c r="F286" s="110"/>
      <c r="G286" s="110"/>
      <c r="H286" s="110"/>
      <c r="I286" s="111"/>
    </row>
    <row r="287" spans="1:10" ht="14.4" customHeight="1" x14ac:dyDescent="0.3">
      <c r="A287" s="428" t="s">
        <v>12</v>
      </c>
      <c r="B287" s="428"/>
      <c r="C287" s="429" t="str">
        <f>VLOOKUP(A288,PRESUPUESTO!$A$14:$G$83,2,)</f>
        <v>Punto Sanitario 4"</v>
      </c>
      <c r="D287" s="430"/>
      <c r="E287" s="430"/>
      <c r="F287" s="430"/>
      <c r="G287" s="430"/>
      <c r="H287" s="431"/>
      <c r="I287" s="104" t="s">
        <v>14</v>
      </c>
    </row>
    <row r="288" spans="1:10" x14ac:dyDescent="0.3">
      <c r="A288" s="428">
        <v>4.7</v>
      </c>
      <c r="B288" s="428"/>
      <c r="C288" s="432"/>
      <c r="D288" s="433"/>
      <c r="E288" s="433"/>
      <c r="F288" s="433"/>
      <c r="G288" s="433"/>
      <c r="H288" s="434"/>
      <c r="I288" s="104" t="str">
        <f>VLOOKUP(A288,PRESUPUESTO!$A$14:$G$83,4,)</f>
        <v>UND</v>
      </c>
    </row>
    <row r="289" spans="1:10" ht="16.850000000000001" customHeight="1" x14ac:dyDescent="0.3">
      <c r="A289" s="428" t="s">
        <v>13</v>
      </c>
      <c r="B289" s="428"/>
      <c r="C289" s="428"/>
      <c r="D289" s="104" t="s">
        <v>72</v>
      </c>
      <c r="E289" s="104" t="s">
        <v>75</v>
      </c>
      <c r="F289" s="104" t="s">
        <v>76</v>
      </c>
      <c r="G289" s="435" t="s">
        <v>74</v>
      </c>
      <c r="H289" s="436"/>
      <c r="I289" s="104" t="s">
        <v>1</v>
      </c>
      <c r="J289" s="105"/>
    </row>
    <row r="290" spans="1:10" x14ac:dyDescent="0.3">
      <c r="A290" s="422" t="s">
        <v>290</v>
      </c>
      <c r="B290" s="422"/>
      <c r="C290" s="106" t="s">
        <v>293</v>
      </c>
      <c r="D290" s="106"/>
      <c r="E290" s="106"/>
      <c r="F290" s="106"/>
      <c r="G290" s="423">
        <v>4</v>
      </c>
      <c r="H290" s="424"/>
      <c r="I290" s="107">
        <f>G290</f>
        <v>4</v>
      </c>
      <c r="J290" s="108"/>
    </row>
    <row r="291" spans="1:10" x14ac:dyDescent="0.3">
      <c r="A291" s="422"/>
      <c r="B291" s="422"/>
      <c r="C291" s="106"/>
      <c r="D291" s="106"/>
      <c r="E291" s="106"/>
      <c r="F291" s="106"/>
      <c r="G291" s="423"/>
      <c r="H291" s="424"/>
      <c r="I291" s="107"/>
      <c r="J291" s="108"/>
    </row>
    <row r="292" spans="1:10" x14ac:dyDescent="0.3">
      <c r="A292" s="422"/>
      <c r="B292" s="422"/>
      <c r="C292" s="106"/>
      <c r="D292" s="106"/>
      <c r="E292" s="106"/>
      <c r="F292" s="106"/>
      <c r="G292" s="423"/>
      <c r="H292" s="424"/>
      <c r="I292" s="107"/>
      <c r="J292" s="108"/>
    </row>
    <row r="293" spans="1:10" x14ac:dyDescent="0.3">
      <c r="A293" s="422"/>
      <c r="B293" s="422"/>
      <c r="C293" s="106"/>
      <c r="D293" s="106"/>
      <c r="E293" s="106"/>
      <c r="F293" s="106"/>
      <c r="G293" s="423"/>
      <c r="H293" s="424"/>
      <c r="I293" s="107"/>
      <c r="J293" s="108"/>
    </row>
    <row r="294" spans="1:10" x14ac:dyDescent="0.3">
      <c r="A294" s="422"/>
      <c r="B294" s="422"/>
      <c r="C294" s="106"/>
      <c r="D294" s="106"/>
      <c r="E294" s="106"/>
      <c r="F294" s="106"/>
      <c r="G294" s="423"/>
      <c r="H294" s="424"/>
      <c r="I294" s="107"/>
      <c r="J294" s="108"/>
    </row>
    <row r="295" spans="1:10" x14ac:dyDescent="0.3">
      <c r="A295" s="422"/>
      <c r="B295" s="422"/>
      <c r="C295" s="112"/>
      <c r="D295" s="106"/>
      <c r="E295" s="106"/>
      <c r="F295" s="106"/>
      <c r="G295" s="423"/>
      <c r="H295" s="424"/>
      <c r="I295" s="107"/>
      <c r="J295" s="108"/>
    </row>
    <row r="296" spans="1:10" x14ac:dyDescent="0.3">
      <c r="A296" s="422"/>
      <c r="B296" s="422"/>
      <c r="C296" s="112"/>
      <c r="D296" s="106"/>
      <c r="E296" s="106"/>
      <c r="F296" s="106"/>
      <c r="G296" s="423"/>
      <c r="H296" s="424"/>
      <c r="I296" s="107"/>
      <c r="J296" s="108"/>
    </row>
    <row r="297" spans="1:10" x14ac:dyDescent="0.3">
      <c r="A297" s="425" t="s">
        <v>1</v>
      </c>
      <c r="B297" s="426"/>
      <c r="C297" s="426"/>
      <c r="D297" s="426"/>
      <c r="E297" s="426"/>
      <c r="F297" s="426"/>
      <c r="G297" s="426"/>
      <c r="H297" s="427"/>
      <c r="I297" s="109">
        <f>SUM(I290:I296)</f>
        <v>4</v>
      </c>
    </row>
    <row r="298" spans="1:10" x14ac:dyDescent="0.3">
      <c r="A298" s="110"/>
      <c r="B298" s="110"/>
      <c r="C298" s="110"/>
      <c r="D298" s="110"/>
      <c r="E298" s="110"/>
      <c r="F298" s="110"/>
      <c r="G298" s="110"/>
      <c r="H298" s="110"/>
      <c r="I298" s="111"/>
    </row>
    <row r="299" spans="1:10" x14ac:dyDescent="0.3">
      <c r="A299" s="428" t="s">
        <v>12</v>
      </c>
      <c r="B299" s="428"/>
      <c r="C299" s="429" t="str">
        <f>VLOOKUP(A300,PRESUPUESTO!$A$14:$G$83,2,)</f>
        <v>Suministro e instalación de ducha tipo telefónica cromada, incluye regadera, brazo, chapeta, accesorios de fijación, conexiones</v>
      </c>
      <c r="D299" s="430"/>
      <c r="E299" s="430"/>
      <c r="F299" s="430"/>
      <c r="G299" s="430"/>
      <c r="H299" s="431"/>
      <c r="I299" s="104" t="s">
        <v>14</v>
      </c>
    </row>
    <row r="300" spans="1:10" x14ac:dyDescent="0.3">
      <c r="A300" s="428">
        <v>4.8</v>
      </c>
      <c r="B300" s="428"/>
      <c r="C300" s="432"/>
      <c r="D300" s="433"/>
      <c r="E300" s="433"/>
      <c r="F300" s="433"/>
      <c r="G300" s="433"/>
      <c r="H300" s="434"/>
      <c r="I300" s="104" t="str">
        <f>VLOOKUP(A300,PRESUPUESTO!$A$14:$G$83,4,)</f>
        <v>UND</v>
      </c>
    </row>
    <row r="301" spans="1:10" x14ac:dyDescent="0.3">
      <c r="A301" s="428" t="s">
        <v>13</v>
      </c>
      <c r="B301" s="428"/>
      <c r="C301" s="428"/>
      <c r="D301" s="104" t="s">
        <v>72</v>
      </c>
      <c r="E301" s="104" t="s">
        <v>75</v>
      </c>
      <c r="F301" s="104" t="s">
        <v>76</v>
      </c>
      <c r="G301" s="435" t="s">
        <v>74</v>
      </c>
      <c r="H301" s="436"/>
      <c r="I301" s="104" t="s">
        <v>1</v>
      </c>
    </row>
    <row r="302" spans="1:10" x14ac:dyDescent="0.3">
      <c r="A302" s="422" t="s">
        <v>290</v>
      </c>
      <c r="B302" s="422"/>
      <c r="C302" s="106" t="s">
        <v>424</v>
      </c>
      <c r="D302" s="106"/>
      <c r="E302" s="106"/>
      <c r="F302" s="106"/>
      <c r="G302" s="423">
        <v>4</v>
      </c>
      <c r="H302" s="424"/>
      <c r="I302" s="107">
        <f>G302</f>
        <v>4</v>
      </c>
    </row>
    <row r="303" spans="1:10" x14ac:dyDescent="0.3">
      <c r="A303" s="422"/>
      <c r="B303" s="422"/>
      <c r="C303" s="106"/>
      <c r="D303" s="106"/>
      <c r="E303" s="106"/>
      <c r="F303" s="106"/>
      <c r="G303" s="423"/>
      <c r="H303" s="424"/>
      <c r="I303" s="107"/>
    </row>
    <row r="304" spans="1:10" x14ac:dyDescent="0.3">
      <c r="A304" s="422"/>
      <c r="B304" s="422"/>
      <c r="C304" s="106"/>
      <c r="D304" s="106"/>
      <c r="E304" s="106"/>
      <c r="F304" s="106"/>
      <c r="G304" s="423"/>
      <c r="H304" s="424"/>
      <c r="I304" s="107"/>
    </row>
    <row r="305" spans="1:9" x14ac:dyDescent="0.3">
      <c r="A305" s="422"/>
      <c r="B305" s="422"/>
      <c r="C305" s="106"/>
      <c r="D305" s="106"/>
      <c r="E305" s="106"/>
      <c r="F305" s="106"/>
      <c r="G305" s="423"/>
      <c r="H305" s="424"/>
      <c r="I305" s="107"/>
    </row>
    <row r="306" spans="1:9" x14ac:dyDescent="0.3">
      <c r="A306" s="422"/>
      <c r="B306" s="422"/>
      <c r="C306" s="106"/>
      <c r="D306" s="106"/>
      <c r="E306" s="106"/>
      <c r="F306" s="106"/>
      <c r="G306" s="423"/>
      <c r="H306" s="424"/>
      <c r="I306" s="107"/>
    </row>
    <row r="307" spans="1:9" x14ac:dyDescent="0.3">
      <c r="A307" s="422"/>
      <c r="B307" s="422"/>
      <c r="C307" s="112"/>
      <c r="D307" s="106"/>
      <c r="E307" s="106"/>
      <c r="F307" s="106"/>
      <c r="G307" s="423"/>
      <c r="H307" s="424"/>
      <c r="I307" s="107"/>
    </row>
    <row r="308" spans="1:9" x14ac:dyDescent="0.3">
      <c r="A308" s="422"/>
      <c r="B308" s="422"/>
      <c r="C308" s="112"/>
      <c r="D308" s="106"/>
      <c r="E308" s="106"/>
      <c r="F308" s="106"/>
      <c r="G308" s="423"/>
      <c r="H308" s="424"/>
      <c r="I308" s="107"/>
    </row>
    <row r="309" spans="1:9" x14ac:dyDescent="0.3">
      <c r="A309" s="425" t="s">
        <v>1</v>
      </c>
      <c r="B309" s="426"/>
      <c r="C309" s="426"/>
      <c r="D309" s="426"/>
      <c r="E309" s="426"/>
      <c r="F309" s="426"/>
      <c r="G309" s="426"/>
      <c r="H309" s="427"/>
      <c r="I309" s="109">
        <f>SUM(I302:I308)</f>
        <v>4</v>
      </c>
    </row>
    <row r="310" spans="1:9" x14ac:dyDescent="0.3">
      <c r="A310" s="110"/>
      <c r="B310" s="110"/>
      <c r="C310" s="110"/>
      <c r="D310" s="110"/>
      <c r="E310" s="110"/>
      <c r="F310" s="110"/>
      <c r="G310" s="110"/>
      <c r="H310" s="110"/>
      <c r="I310" s="111"/>
    </row>
    <row r="311" spans="1:9" x14ac:dyDescent="0.3">
      <c r="A311" s="428" t="s">
        <v>12</v>
      </c>
      <c r="B311" s="428"/>
      <c r="C311" s="429" t="str">
        <f>VLOOKUP(A312,PRESUPUESTO!$A$14:$G$83,2,)</f>
        <v>Suministro e instalación de taza sanitaria tipo institucional (incluye accesorios de fijación y conexión)</v>
      </c>
      <c r="D311" s="430"/>
      <c r="E311" s="430"/>
      <c r="F311" s="430"/>
      <c r="G311" s="430"/>
      <c r="H311" s="431"/>
      <c r="I311" s="104" t="s">
        <v>14</v>
      </c>
    </row>
    <row r="312" spans="1:9" x14ac:dyDescent="0.3">
      <c r="A312" s="428">
        <v>4.9000000000000004</v>
      </c>
      <c r="B312" s="428"/>
      <c r="C312" s="432"/>
      <c r="D312" s="433"/>
      <c r="E312" s="433"/>
      <c r="F312" s="433"/>
      <c r="G312" s="433"/>
      <c r="H312" s="434"/>
      <c r="I312" s="104" t="str">
        <f>VLOOKUP(A312,PRESUPUESTO!$A$14:$G$83,4,)</f>
        <v>UND</v>
      </c>
    </row>
    <row r="313" spans="1:9" x14ac:dyDescent="0.3">
      <c r="A313" s="428" t="s">
        <v>13</v>
      </c>
      <c r="B313" s="428"/>
      <c r="C313" s="428"/>
      <c r="D313" s="104" t="s">
        <v>72</v>
      </c>
      <c r="E313" s="104" t="s">
        <v>75</v>
      </c>
      <c r="F313" s="104" t="s">
        <v>76</v>
      </c>
      <c r="G313" s="435" t="s">
        <v>74</v>
      </c>
      <c r="H313" s="436"/>
      <c r="I313" s="104" t="s">
        <v>1</v>
      </c>
    </row>
    <row r="314" spans="1:9" x14ac:dyDescent="0.3">
      <c r="A314" s="422" t="s">
        <v>290</v>
      </c>
      <c r="B314" s="422"/>
      <c r="C314" s="106" t="s">
        <v>425</v>
      </c>
      <c r="D314" s="106"/>
      <c r="E314" s="106"/>
      <c r="F314" s="106"/>
      <c r="G314" s="423">
        <v>4</v>
      </c>
      <c r="H314" s="424"/>
      <c r="I314" s="107">
        <f>G314</f>
        <v>4</v>
      </c>
    </row>
    <row r="315" spans="1:9" x14ac:dyDescent="0.3">
      <c r="A315" s="422"/>
      <c r="B315" s="422"/>
      <c r="C315" s="106"/>
      <c r="D315" s="106"/>
      <c r="E315" s="106"/>
      <c r="F315" s="106"/>
      <c r="G315" s="423"/>
      <c r="H315" s="424"/>
      <c r="I315" s="107"/>
    </row>
    <row r="316" spans="1:9" x14ac:dyDescent="0.3">
      <c r="A316" s="422"/>
      <c r="B316" s="422"/>
      <c r="C316" s="106"/>
      <c r="D316" s="106"/>
      <c r="E316" s="106"/>
      <c r="F316" s="106"/>
      <c r="G316" s="423"/>
      <c r="H316" s="424"/>
      <c r="I316" s="107"/>
    </row>
    <row r="317" spans="1:9" x14ac:dyDescent="0.3">
      <c r="A317" s="422"/>
      <c r="B317" s="422"/>
      <c r="C317" s="106"/>
      <c r="D317" s="106"/>
      <c r="E317" s="106"/>
      <c r="F317" s="106"/>
      <c r="G317" s="423"/>
      <c r="H317" s="424"/>
      <c r="I317" s="107"/>
    </row>
    <row r="318" spans="1:9" x14ac:dyDescent="0.3">
      <c r="A318" s="422"/>
      <c r="B318" s="422"/>
      <c r="C318" s="106"/>
      <c r="D318" s="106"/>
      <c r="E318" s="106"/>
      <c r="F318" s="106"/>
      <c r="G318" s="423"/>
      <c r="H318" s="424"/>
      <c r="I318" s="107"/>
    </row>
    <row r="319" spans="1:9" x14ac:dyDescent="0.3">
      <c r="A319" s="422"/>
      <c r="B319" s="422"/>
      <c r="C319" s="112"/>
      <c r="D319" s="106"/>
      <c r="E319" s="106"/>
      <c r="F319" s="106"/>
      <c r="G319" s="423"/>
      <c r="H319" s="424"/>
      <c r="I319" s="107"/>
    </row>
    <row r="320" spans="1:9" x14ac:dyDescent="0.3">
      <c r="A320" s="422"/>
      <c r="B320" s="422"/>
      <c r="C320" s="112"/>
      <c r="D320" s="106"/>
      <c r="E320" s="106"/>
      <c r="F320" s="106"/>
      <c r="G320" s="423"/>
      <c r="H320" s="424"/>
      <c r="I320" s="107"/>
    </row>
    <row r="321" spans="1:9" x14ac:dyDescent="0.3">
      <c r="A321" s="425" t="s">
        <v>1</v>
      </c>
      <c r="B321" s="426"/>
      <c r="C321" s="426"/>
      <c r="D321" s="426"/>
      <c r="E321" s="426"/>
      <c r="F321" s="426"/>
      <c r="G321" s="426"/>
      <c r="H321" s="427"/>
      <c r="I321" s="109">
        <f>SUM(I314:I320)</f>
        <v>4</v>
      </c>
    </row>
    <row r="322" spans="1:9" x14ac:dyDescent="0.3">
      <c r="A322" s="110"/>
      <c r="B322" s="110"/>
      <c r="C322" s="110"/>
      <c r="D322" s="110"/>
      <c r="E322" s="110"/>
      <c r="F322" s="110"/>
      <c r="G322" s="110"/>
      <c r="H322" s="110"/>
      <c r="I322" s="111"/>
    </row>
    <row r="323" spans="1:9" x14ac:dyDescent="0.3">
      <c r="A323" s="428" t="s">
        <v>12</v>
      </c>
      <c r="B323" s="428"/>
      <c r="C323" s="429" t="str">
        <f>PRESUPUESTO!B46</f>
        <v>Suministro e instalación de lavamanos institucional sobreponer línea económica</v>
      </c>
      <c r="D323" s="430"/>
      <c r="E323" s="430"/>
      <c r="F323" s="430"/>
      <c r="G323" s="430"/>
      <c r="H323" s="431"/>
      <c r="I323" s="104" t="s">
        <v>14</v>
      </c>
    </row>
    <row r="324" spans="1:9" x14ac:dyDescent="0.3">
      <c r="A324" s="437">
        <v>4.0999999999999996</v>
      </c>
      <c r="B324" s="437"/>
      <c r="C324" s="432"/>
      <c r="D324" s="433"/>
      <c r="E324" s="433"/>
      <c r="F324" s="433"/>
      <c r="G324" s="433"/>
      <c r="H324" s="434"/>
      <c r="I324" s="104" t="s">
        <v>212</v>
      </c>
    </row>
    <row r="325" spans="1:9" x14ac:dyDescent="0.3">
      <c r="A325" s="428" t="s">
        <v>13</v>
      </c>
      <c r="B325" s="428"/>
      <c r="C325" s="428"/>
      <c r="D325" s="104" t="s">
        <v>72</v>
      </c>
      <c r="E325" s="104" t="s">
        <v>75</v>
      </c>
      <c r="F325" s="104" t="s">
        <v>76</v>
      </c>
      <c r="G325" s="435" t="s">
        <v>74</v>
      </c>
      <c r="H325" s="436"/>
      <c r="I325" s="104" t="s">
        <v>1</v>
      </c>
    </row>
    <row r="326" spans="1:9" x14ac:dyDescent="0.3">
      <c r="A326" s="422" t="s">
        <v>290</v>
      </c>
      <c r="B326" s="422"/>
      <c r="C326" s="106" t="s">
        <v>291</v>
      </c>
      <c r="D326" s="106"/>
      <c r="E326" s="106"/>
      <c r="F326" s="106"/>
      <c r="G326" s="423">
        <v>4</v>
      </c>
      <c r="H326" s="424"/>
      <c r="I326" s="107">
        <f>G326</f>
        <v>4</v>
      </c>
    </row>
    <row r="327" spans="1:9" x14ac:dyDescent="0.3">
      <c r="A327" s="422"/>
      <c r="B327" s="422"/>
      <c r="C327" s="106"/>
      <c r="D327" s="106"/>
      <c r="E327" s="106"/>
      <c r="F327" s="106"/>
      <c r="G327" s="423"/>
      <c r="H327" s="424"/>
      <c r="I327" s="107"/>
    </row>
    <row r="328" spans="1:9" x14ac:dyDescent="0.3">
      <c r="A328" s="422"/>
      <c r="B328" s="422"/>
      <c r="C328" s="106"/>
      <c r="D328" s="106"/>
      <c r="E328" s="106"/>
      <c r="F328" s="106"/>
      <c r="G328" s="423"/>
      <c r="H328" s="424"/>
      <c r="I328" s="107"/>
    </row>
    <row r="329" spans="1:9" x14ac:dyDescent="0.3">
      <c r="A329" s="422"/>
      <c r="B329" s="422"/>
      <c r="C329" s="106"/>
      <c r="D329" s="106"/>
      <c r="E329" s="106"/>
      <c r="F329" s="106"/>
      <c r="G329" s="423"/>
      <c r="H329" s="424"/>
      <c r="I329" s="107"/>
    </row>
    <row r="330" spans="1:9" x14ac:dyDescent="0.3">
      <c r="A330" s="422"/>
      <c r="B330" s="422"/>
      <c r="C330" s="106"/>
      <c r="D330" s="106"/>
      <c r="E330" s="106"/>
      <c r="F330" s="106"/>
      <c r="G330" s="423"/>
      <c r="H330" s="424"/>
      <c r="I330" s="107"/>
    </row>
    <row r="331" spans="1:9" x14ac:dyDescent="0.3">
      <c r="A331" s="422"/>
      <c r="B331" s="422"/>
      <c r="C331" s="112"/>
      <c r="D331" s="106"/>
      <c r="E331" s="106"/>
      <c r="F331" s="106"/>
      <c r="G331" s="423"/>
      <c r="H331" s="424"/>
      <c r="I331" s="107"/>
    </row>
    <row r="332" spans="1:9" x14ac:dyDescent="0.3">
      <c r="A332" s="422"/>
      <c r="B332" s="422"/>
      <c r="C332" s="112"/>
      <c r="D332" s="106"/>
      <c r="E332" s="106"/>
      <c r="F332" s="106"/>
      <c r="G332" s="423"/>
      <c r="H332" s="424"/>
      <c r="I332" s="107"/>
    </row>
    <row r="333" spans="1:9" x14ac:dyDescent="0.3">
      <c r="A333" s="425" t="s">
        <v>1</v>
      </c>
      <c r="B333" s="426"/>
      <c r="C333" s="426"/>
      <c r="D333" s="426"/>
      <c r="E333" s="426"/>
      <c r="F333" s="426"/>
      <c r="G333" s="426"/>
      <c r="H333" s="427"/>
      <c r="I333" s="109">
        <f>SUM(I326:I332)</f>
        <v>4</v>
      </c>
    </row>
    <row r="334" spans="1:9" x14ac:dyDescent="0.3">
      <c r="A334" s="110"/>
      <c r="B334" s="110"/>
      <c r="C334" s="110"/>
      <c r="D334" s="110"/>
      <c r="E334" s="110"/>
      <c r="F334" s="110"/>
      <c r="G334" s="110"/>
      <c r="H334" s="110"/>
      <c r="I334" s="111"/>
    </row>
    <row r="335" spans="1:9" ht="14.4" customHeight="1" x14ac:dyDescent="0.3">
      <c r="A335" s="428" t="s">
        <v>12</v>
      </c>
      <c r="B335" s="428"/>
      <c r="C335" s="429" t="str">
        <f>VLOOKUP(A336,PRESUPUESTO!$A$14:$G$83,2,)</f>
        <v>Punto electrico 1/2"</v>
      </c>
      <c r="D335" s="430"/>
      <c r="E335" s="430"/>
      <c r="F335" s="430"/>
      <c r="G335" s="430"/>
      <c r="H335" s="431"/>
      <c r="I335" s="104" t="s">
        <v>14</v>
      </c>
    </row>
    <row r="336" spans="1:9" x14ac:dyDescent="0.3">
      <c r="A336" s="428">
        <v>4.13</v>
      </c>
      <c r="B336" s="428"/>
      <c r="C336" s="432"/>
      <c r="D336" s="433"/>
      <c r="E336" s="433"/>
      <c r="F336" s="433"/>
      <c r="G336" s="433"/>
      <c r="H336" s="434"/>
      <c r="I336" s="104" t="str">
        <f>VLOOKUP(A336,PRESUPUESTO!$A$14:$G$83,4,)</f>
        <v>UND</v>
      </c>
    </row>
    <row r="337" spans="1:10" ht="16.850000000000001" customHeight="1" x14ac:dyDescent="0.3">
      <c r="A337" s="428" t="s">
        <v>13</v>
      </c>
      <c r="B337" s="428"/>
      <c r="C337" s="428"/>
      <c r="D337" s="104" t="s">
        <v>72</v>
      </c>
      <c r="E337" s="104" t="s">
        <v>75</v>
      </c>
      <c r="F337" s="104" t="s">
        <v>76</v>
      </c>
      <c r="G337" s="435" t="s">
        <v>74</v>
      </c>
      <c r="H337" s="436"/>
      <c r="I337" s="104" t="s">
        <v>1</v>
      </c>
      <c r="J337" s="105"/>
    </row>
    <row r="338" spans="1:10" x14ac:dyDescent="0.3">
      <c r="A338" s="422" t="s">
        <v>313</v>
      </c>
      <c r="B338" s="422"/>
      <c r="C338" s="106" t="s">
        <v>314</v>
      </c>
      <c r="D338" s="106"/>
      <c r="E338" s="106"/>
      <c r="F338" s="106"/>
      <c r="G338" s="423">
        <v>27</v>
      </c>
      <c r="H338" s="424"/>
      <c r="I338" s="107">
        <f>G338</f>
        <v>27</v>
      </c>
      <c r="J338" s="108"/>
    </row>
    <row r="339" spans="1:10" x14ac:dyDescent="0.3">
      <c r="A339" s="422" t="s">
        <v>313</v>
      </c>
      <c r="B339" s="422"/>
      <c r="C339" s="106" t="s">
        <v>315</v>
      </c>
      <c r="D339" s="106"/>
      <c r="E339" s="106"/>
      <c r="F339" s="106"/>
      <c r="G339" s="423">
        <v>17</v>
      </c>
      <c r="H339" s="424"/>
      <c r="I339" s="107">
        <f>G339</f>
        <v>17</v>
      </c>
      <c r="J339" s="108"/>
    </row>
    <row r="340" spans="1:10" x14ac:dyDescent="0.3">
      <c r="A340" s="422" t="s">
        <v>313</v>
      </c>
      <c r="B340" s="422"/>
      <c r="C340" s="106" t="s">
        <v>480</v>
      </c>
      <c r="D340" s="106"/>
      <c r="E340" s="106"/>
      <c r="F340" s="106"/>
      <c r="G340" s="423">
        <v>10</v>
      </c>
      <c r="H340" s="424"/>
      <c r="I340" s="107">
        <f>G340</f>
        <v>10</v>
      </c>
      <c r="J340" s="108"/>
    </row>
    <row r="341" spans="1:10" x14ac:dyDescent="0.3">
      <c r="A341" s="422"/>
      <c r="B341" s="422"/>
      <c r="C341" s="106"/>
      <c r="D341" s="106"/>
      <c r="E341" s="106"/>
      <c r="F341" s="106"/>
      <c r="G341" s="423"/>
      <c r="H341" s="424"/>
      <c r="I341" s="107"/>
      <c r="J341" s="108"/>
    </row>
    <row r="342" spans="1:10" x14ac:dyDescent="0.3">
      <c r="A342" s="422"/>
      <c r="B342" s="422"/>
      <c r="C342" s="106"/>
      <c r="D342" s="106"/>
      <c r="E342" s="106"/>
      <c r="F342" s="106"/>
      <c r="G342" s="423"/>
      <c r="H342" s="424"/>
      <c r="I342" s="107"/>
      <c r="J342" s="108"/>
    </row>
    <row r="343" spans="1:10" x14ac:dyDescent="0.3">
      <c r="A343" s="422"/>
      <c r="B343" s="422"/>
      <c r="C343" s="112"/>
      <c r="D343" s="106"/>
      <c r="E343" s="106"/>
      <c r="F343" s="106"/>
      <c r="G343" s="423"/>
      <c r="H343" s="424"/>
      <c r="I343" s="107"/>
      <c r="J343" s="108"/>
    </row>
    <row r="344" spans="1:10" x14ac:dyDescent="0.3">
      <c r="A344" s="422"/>
      <c r="B344" s="422"/>
      <c r="C344" s="112"/>
      <c r="D344" s="106"/>
      <c r="E344" s="106"/>
      <c r="F344" s="106"/>
      <c r="G344" s="423"/>
      <c r="H344" s="424"/>
      <c r="I344" s="107"/>
      <c r="J344" s="108"/>
    </row>
    <row r="345" spans="1:10" x14ac:dyDescent="0.3">
      <c r="A345" s="425" t="s">
        <v>1</v>
      </c>
      <c r="B345" s="426"/>
      <c r="C345" s="426"/>
      <c r="D345" s="426"/>
      <c r="E345" s="426"/>
      <c r="F345" s="426"/>
      <c r="G345" s="426"/>
      <c r="H345" s="427"/>
      <c r="I345" s="109">
        <f>SUM(I338:I344)</f>
        <v>54</v>
      </c>
    </row>
    <row r="346" spans="1:10" x14ac:dyDescent="0.3">
      <c r="A346" s="110"/>
      <c r="B346" s="110"/>
      <c r="C346" s="110"/>
      <c r="D346" s="110"/>
      <c r="E346" s="110"/>
      <c r="F346" s="110"/>
      <c r="G346" s="110"/>
      <c r="H346" s="110"/>
      <c r="I346" s="111"/>
    </row>
    <row r="347" spans="1:10" ht="14.4" customHeight="1" x14ac:dyDescent="0.3">
      <c r="A347" s="428" t="s">
        <v>12</v>
      </c>
      <c r="B347" s="428"/>
      <c r="C347" s="429" t="str">
        <f>VLOOKUP(A348,PRESUPUESTO!$A$14:$G$83,2,)</f>
        <v>Tuberia EMT 1/2"</v>
      </c>
      <c r="D347" s="430"/>
      <c r="E347" s="430"/>
      <c r="F347" s="430"/>
      <c r="G347" s="430"/>
      <c r="H347" s="431"/>
      <c r="I347" s="104" t="s">
        <v>14</v>
      </c>
    </row>
    <row r="348" spans="1:10" x14ac:dyDescent="0.3">
      <c r="A348" s="428">
        <v>4.1399999999999997</v>
      </c>
      <c r="B348" s="428"/>
      <c r="C348" s="432"/>
      <c r="D348" s="433"/>
      <c r="E348" s="433"/>
      <c r="F348" s="433"/>
      <c r="G348" s="433"/>
      <c r="H348" s="434"/>
      <c r="I348" s="104" t="str">
        <f>VLOOKUP(A348,PRESUPUESTO!$A$14:$G$83,4,)</f>
        <v>ML</v>
      </c>
    </row>
    <row r="349" spans="1:10" ht="16.850000000000001" customHeight="1" x14ac:dyDescent="0.3">
      <c r="A349" s="428" t="s">
        <v>13</v>
      </c>
      <c r="B349" s="428"/>
      <c r="C349" s="428"/>
      <c r="D349" s="104" t="s">
        <v>72</v>
      </c>
      <c r="E349" s="104" t="s">
        <v>75</v>
      </c>
      <c r="F349" s="104" t="s">
        <v>76</v>
      </c>
      <c r="G349" s="435" t="s">
        <v>74</v>
      </c>
      <c r="H349" s="436"/>
      <c r="I349" s="104" t="s">
        <v>1</v>
      </c>
      <c r="J349" s="105"/>
    </row>
    <row r="350" spans="1:10" x14ac:dyDescent="0.3">
      <c r="A350" s="422" t="s">
        <v>316</v>
      </c>
      <c r="B350" s="422"/>
      <c r="C350" s="106" t="s">
        <v>589</v>
      </c>
      <c r="D350" s="106"/>
      <c r="E350" s="106">
        <f>23.51+12.3+2+1.41+1.21+2.09+2.96+3.33+3.33+3.33+1+2+3.79+2.97+1.66+1.96+2</f>
        <v>70.84999999999998</v>
      </c>
      <c r="F350" s="106"/>
      <c r="G350" s="423">
        <v>1</v>
      </c>
      <c r="H350" s="424"/>
      <c r="I350" s="107">
        <f>E350*G350</f>
        <v>70.84999999999998</v>
      </c>
      <c r="J350" s="108"/>
    </row>
    <row r="351" spans="1:10" x14ac:dyDescent="0.3">
      <c r="A351" s="422" t="s">
        <v>316</v>
      </c>
      <c r="B351" s="422"/>
      <c r="C351" s="106" t="s">
        <v>590</v>
      </c>
      <c r="D351" s="106"/>
      <c r="E351" s="106">
        <f>23.51+12.3+1.05+5.75+2.14+2.05+2.23+1+5.09+2.18+2.05+2.47+0.58+1</f>
        <v>63.399999999999984</v>
      </c>
      <c r="F351" s="106"/>
      <c r="G351" s="423">
        <v>1</v>
      </c>
      <c r="H351" s="424"/>
      <c r="I351" s="107">
        <f>E351*G351</f>
        <v>63.399999999999984</v>
      </c>
      <c r="J351" s="108"/>
    </row>
    <row r="352" spans="1:10" x14ac:dyDescent="0.3">
      <c r="A352" s="422" t="s">
        <v>316</v>
      </c>
      <c r="B352" s="422"/>
      <c r="C352" s="106" t="s">
        <v>591</v>
      </c>
      <c r="D352" s="106"/>
      <c r="E352" s="106">
        <f>23.51+12.3+4.3+4.42+3.91+3.93+2.07+2.05+2.25+2.1+1+5.23+1+2.3+0.88+1.86+2.02</f>
        <v>75.129999999999981</v>
      </c>
      <c r="F352" s="106"/>
      <c r="G352" s="423">
        <v>1</v>
      </c>
      <c r="H352" s="424"/>
      <c r="I352" s="107">
        <f>E352*G352</f>
        <v>75.129999999999981</v>
      </c>
      <c r="J352" s="108"/>
    </row>
    <row r="353" spans="1:10" x14ac:dyDescent="0.3">
      <c r="A353" s="422"/>
      <c r="B353" s="422"/>
      <c r="C353" s="106"/>
      <c r="D353" s="106"/>
      <c r="E353" s="106"/>
      <c r="F353" s="106"/>
      <c r="G353" s="423"/>
      <c r="H353" s="424"/>
      <c r="I353" s="107"/>
      <c r="J353" s="108"/>
    </row>
    <row r="354" spans="1:10" x14ac:dyDescent="0.3">
      <c r="A354" s="422"/>
      <c r="B354" s="422"/>
      <c r="C354" s="106"/>
      <c r="D354" s="106"/>
      <c r="E354" s="106"/>
      <c r="F354" s="106"/>
      <c r="G354" s="423"/>
      <c r="H354" s="424"/>
      <c r="I354" s="107"/>
      <c r="J354" s="108"/>
    </row>
    <row r="355" spans="1:10" x14ac:dyDescent="0.3">
      <c r="A355" s="422"/>
      <c r="B355" s="422"/>
      <c r="C355" s="112"/>
      <c r="D355" s="106"/>
      <c r="E355" s="106"/>
      <c r="F355" s="106"/>
      <c r="G355" s="423"/>
      <c r="H355" s="424"/>
      <c r="I355" s="107"/>
      <c r="J355" s="108"/>
    </row>
    <row r="356" spans="1:10" x14ac:dyDescent="0.3">
      <c r="A356" s="422"/>
      <c r="B356" s="422"/>
      <c r="C356" s="112"/>
      <c r="D356" s="106"/>
      <c r="E356" s="106"/>
      <c r="F356" s="106"/>
      <c r="G356" s="423"/>
      <c r="H356" s="424"/>
      <c r="I356" s="107"/>
      <c r="J356" s="108"/>
    </row>
    <row r="357" spans="1:10" x14ac:dyDescent="0.3">
      <c r="A357" s="425" t="s">
        <v>1</v>
      </c>
      <c r="B357" s="426"/>
      <c r="C357" s="426"/>
      <c r="D357" s="426"/>
      <c r="E357" s="426"/>
      <c r="F357" s="426"/>
      <c r="G357" s="426"/>
      <c r="H357" s="427"/>
      <c r="I357" s="109">
        <f>SUM(I350:I356)</f>
        <v>209.37999999999994</v>
      </c>
    </row>
    <row r="358" spans="1:10" x14ac:dyDescent="0.3">
      <c r="A358" s="110"/>
      <c r="B358" s="110"/>
      <c r="C358" s="110"/>
      <c r="D358" s="110"/>
      <c r="E358" s="110"/>
      <c r="F358" s="110"/>
      <c r="G358" s="110"/>
      <c r="H358" s="110"/>
      <c r="I358" s="111"/>
    </row>
    <row r="359" spans="1:10" ht="14.4" customHeight="1" x14ac:dyDescent="0.3">
      <c r="A359" s="428" t="s">
        <v>12</v>
      </c>
      <c r="B359" s="428"/>
      <c r="C359" s="429" t="str">
        <f>VLOOKUP(A360,PRESUPUESTO!$A$14:$G$83,2,)</f>
        <v>Interrutor sencillo</v>
      </c>
      <c r="D359" s="430"/>
      <c r="E359" s="430"/>
      <c r="F359" s="430"/>
      <c r="G359" s="430"/>
      <c r="H359" s="431"/>
      <c r="I359" s="104" t="s">
        <v>14</v>
      </c>
    </row>
    <row r="360" spans="1:10" x14ac:dyDescent="0.3">
      <c r="A360" s="428">
        <v>4.1500000000000004</v>
      </c>
      <c r="B360" s="428"/>
      <c r="C360" s="432"/>
      <c r="D360" s="433"/>
      <c r="E360" s="433"/>
      <c r="F360" s="433"/>
      <c r="G360" s="433"/>
      <c r="H360" s="434"/>
      <c r="I360" s="104" t="str">
        <f>VLOOKUP(A360,PRESUPUESTO!$A$14:$G$83,4,)</f>
        <v>UND</v>
      </c>
    </row>
    <row r="361" spans="1:10" ht="16.850000000000001" customHeight="1" x14ac:dyDescent="0.3">
      <c r="A361" s="428" t="s">
        <v>13</v>
      </c>
      <c r="B361" s="428"/>
      <c r="C361" s="428"/>
      <c r="D361" s="104" t="s">
        <v>72</v>
      </c>
      <c r="E361" s="104" t="s">
        <v>75</v>
      </c>
      <c r="F361" s="104" t="s">
        <v>76</v>
      </c>
      <c r="G361" s="435" t="s">
        <v>74</v>
      </c>
      <c r="H361" s="436"/>
      <c r="I361" s="104" t="s">
        <v>1</v>
      </c>
      <c r="J361" s="105"/>
    </row>
    <row r="362" spans="1:10" x14ac:dyDescent="0.3">
      <c r="A362" s="422" t="s">
        <v>317</v>
      </c>
      <c r="B362" s="422"/>
      <c r="C362" s="106" t="s">
        <v>318</v>
      </c>
      <c r="D362" s="106"/>
      <c r="E362" s="106"/>
      <c r="F362" s="106"/>
      <c r="G362" s="423">
        <v>10</v>
      </c>
      <c r="H362" s="424"/>
      <c r="I362" s="107">
        <f>G362</f>
        <v>10</v>
      </c>
      <c r="J362" s="108"/>
    </row>
    <row r="363" spans="1:10" x14ac:dyDescent="0.3">
      <c r="A363" s="422"/>
      <c r="B363" s="422"/>
      <c r="C363" s="106"/>
      <c r="D363" s="106"/>
      <c r="E363" s="106"/>
      <c r="F363" s="106"/>
      <c r="G363" s="423"/>
      <c r="H363" s="424"/>
      <c r="I363" s="107"/>
      <c r="J363" s="108"/>
    </row>
    <row r="364" spans="1:10" x14ac:dyDescent="0.3">
      <c r="A364" s="422"/>
      <c r="B364" s="422"/>
      <c r="C364" s="106"/>
      <c r="D364" s="106"/>
      <c r="E364" s="106"/>
      <c r="F364" s="106"/>
      <c r="G364" s="423"/>
      <c r="H364" s="424"/>
      <c r="I364" s="107"/>
      <c r="J364" s="108"/>
    </row>
    <row r="365" spans="1:10" x14ac:dyDescent="0.3">
      <c r="A365" s="422"/>
      <c r="B365" s="422"/>
      <c r="C365" s="106"/>
      <c r="D365" s="106"/>
      <c r="E365" s="106"/>
      <c r="F365" s="106"/>
      <c r="G365" s="423"/>
      <c r="H365" s="424"/>
      <c r="I365" s="107"/>
      <c r="J365" s="108"/>
    </row>
    <row r="366" spans="1:10" x14ac:dyDescent="0.3">
      <c r="A366" s="422"/>
      <c r="B366" s="422"/>
      <c r="C366" s="106"/>
      <c r="D366" s="106"/>
      <c r="E366" s="106"/>
      <c r="F366" s="106"/>
      <c r="G366" s="423"/>
      <c r="H366" s="424"/>
      <c r="I366" s="107"/>
      <c r="J366" s="108"/>
    </row>
    <row r="367" spans="1:10" x14ac:dyDescent="0.3">
      <c r="A367" s="422"/>
      <c r="B367" s="422"/>
      <c r="C367" s="112"/>
      <c r="D367" s="106"/>
      <c r="E367" s="106"/>
      <c r="F367" s="106"/>
      <c r="G367" s="423"/>
      <c r="H367" s="424"/>
      <c r="I367" s="107"/>
      <c r="J367" s="108"/>
    </row>
    <row r="368" spans="1:10" x14ac:dyDescent="0.3">
      <c r="A368" s="422"/>
      <c r="B368" s="422"/>
      <c r="C368" s="112"/>
      <c r="D368" s="106"/>
      <c r="E368" s="106"/>
      <c r="F368" s="106"/>
      <c r="G368" s="423"/>
      <c r="H368" s="424"/>
      <c r="I368" s="107"/>
      <c r="J368" s="108"/>
    </row>
    <row r="369" spans="1:10" x14ac:dyDescent="0.3">
      <c r="A369" s="425" t="s">
        <v>1</v>
      </c>
      <c r="B369" s="426"/>
      <c r="C369" s="426"/>
      <c r="D369" s="426"/>
      <c r="E369" s="426"/>
      <c r="F369" s="426"/>
      <c r="G369" s="426"/>
      <c r="H369" s="427"/>
      <c r="I369" s="109">
        <f>SUM(I362:I368)</f>
        <v>10</v>
      </c>
    </row>
    <row r="370" spans="1:10" x14ac:dyDescent="0.3">
      <c r="A370" s="110"/>
      <c r="B370" s="110"/>
      <c r="C370" s="110"/>
      <c r="D370" s="110"/>
      <c r="E370" s="110"/>
      <c r="F370" s="110"/>
      <c r="G370" s="110"/>
      <c r="H370" s="110"/>
      <c r="I370" s="111"/>
    </row>
    <row r="371" spans="1:10" ht="14.4" customHeight="1" x14ac:dyDescent="0.3">
      <c r="A371" s="428" t="s">
        <v>12</v>
      </c>
      <c r="B371" s="428"/>
      <c r="C371" s="429" t="str">
        <f>VLOOKUP(A372,PRESUPUESTO!$A$14:$G$83,2,)</f>
        <v>Tomacorriente doble.</v>
      </c>
      <c r="D371" s="430"/>
      <c r="E371" s="430"/>
      <c r="F371" s="430"/>
      <c r="G371" s="430"/>
      <c r="H371" s="431"/>
      <c r="I371" s="104" t="s">
        <v>14</v>
      </c>
    </row>
    <row r="372" spans="1:10" x14ac:dyDescent="0.3">
      <c r="A372" s="428">
        <v>4.16</v>
      </c>
      <c r="B372" s="428"/>
      <c r="C372" s="432"/>
      <c r="D372" s="433"/>
      <c r="E372" s="433"/>
      <c r="F372" s="433"/>
      <c r="G372" s="433"/>
      <c r="H372" s="434"/>
      <c r="I372" s="104" t="str">
        <f>VLOOKUP(A372,PRESUPUESTO!$A$14:$G$83,4,)</f>
        <v>UND</v>
      </c>
    </row>
    <row r="373" spans="1:10" ht="16.850000000000001" customHeight="1" x14ac:dyDescent="0.3">
      <c r="A373" s="428" t="s">
        <v>13</v>
      </c>
      <c r="B373" s="428"/>
      <c r="C373" s="428"/>
      <c r="D373" s="104" t="s">
        <v>72</v>
      </c>
      <c r="E373" s="104" t="s">
        <v>75</v>
      </c>
      <c r="F373" s="104" t="s">
        <v>76</v>
      </c>
      <c r="G373" s="435" t="s">
        <v>74</v>
      </c>
      <c r="H373" s="436"/>
      <c r="I373" s="104" t="s">
        <v>1</v>
      </c>
      <c r="J373" s="105"/>
    </row>
    <row r="374" spans="1:10" x14ac:dyDescent="0.3">
      <c r="A374" s="422" t="s">
        <v>317</v>
      </c>
      <c r="B374" s="422"/>
      <c r="C374" s="106" t="s">
        <v>320</v>
      </c>
      <c r="D374" s="106"/>
      <c r="E374" s="106"/>
      <c r="F374" s="106"/>
      <c r="G374" s="423">
        <v>13</v>
      </c>
      <c r="H374" s="424"/>
      <c r="I374" s="107">
        <f>G374</f>
        <v>13</v>
      </c>
      <c r="J374" s="108"/>
    </row>
    <row r="375" spans="1:10" x14ac:dyDescent="0.3">
      <c r="A375" s="422"/>
      <c r="B375" s="422"/>
      <c r="C375" s="106"/>
      <c r="D375" s="106"/>
      <c r="E375" s="106"/>
      <c r="F375" s="106"/>
      <c r="G375" s="423"/>
      <c r="H375" s="424"/>
      <c r="I375" s="107"/>
      <c r="J375" s="108"/>
    </row>
    <row r="376" spans="1:10" x14ac:dyDescent="0.3">
      <c r="A376" s="422"/>
      <c r="B376" s="422"/>
      <c r="C376" s="106"/>
      <c r="D376" s="106"/>
      <c r="E376" s="106"/>
      <c r="F376" s="106"/>
      <c r="G376" s="423"/>
      <c r="H376" s="424"/>
      <c r="I376" s="107"/>
      <c r="J376" s="108"/>
    </row>
    <row r="377" spans="1:10" x14ac:dyDescent="0.3">
      <c r="A377" s="422"/>
      <c r="B377" s="422"/>
      <c r="C377" s="106"/>
      <c r="D377" s="106"/>
      <c r="E377" s="106"/>
      <c r="F377" s="106"/>
      <c r="G377" s="423"/>
      <c r="H377" s="424"/>
      <c r="I377" s="107"/>
      <c r="J377" s="108"/>
    </row>
    <row r="378" spans="1:10" x14ac:dyDescent="0.3">
      <c r="A378" s="422"/>
      <c r="B378" s="422"/>
      <c r="C378" s="106"/>
      <c r="D378" s="106"/>
      <c r="E378" s="106"/>
      <c r="F378" s="106"/>
      <c r="G378" s="423"/>
      <c r="H378" s="424"/>
      <c r="I378" s="107"/>
      <c r="J378" s="108"/>
    </row>
    <row r="379" spans="1:10" x14ac:dyDescent="0.3">
      <c r="A379" s="422"/>
      <c r="B379" s="422"/>
      <c r="C379" s="112"/>
      <c r="D379" s="106"/>
      <c r="E379" s="106"/>
      <c r="F379" s="106"/>
      <c r="G379" s="423"/>
      <c r="H379" s="424"/>
      <c r="I379" s="107"/>
      <c r="J379" s="108"/>
    </row>
    <row r="380" spans="1:10" x14ac:dyDescent="0.3">
      <c r="A380" s="422"/>
      <c r="B380" s="422"/>
      <c r="C380" s="112"/>
      <c r="D380" s="106"/>
      <c r="E380" s="106"/>
      <c r="F380" s="106"/>
      <c r="G380" s="423"/>
      <c r="H380" s="424"/>
      <c r="I380" s="107"/>
      <c r="J380" s="108"/>
    </row>
    <row r="381" spans="1:10" x14ac:dyDescent="0.3">
      <c r="A381" s="425" t="s">
        <v>1</v>
      </c>
      <c r="B381" s="426"/>
      <c r="C381" s="426"/>
      <c r="D381" s="426"/>
      <c r="E381" s="426"/>
      <c r="F381" s="426"/>
      <c r="G381" s="426"/>
      <c r="H381" s="427"/>
      <c r="I381" s="109">
        <f>SUM(I374:I380)</f>
        <v>13</v>
      </c>
    </row>
    <row r="382" spans="1:10" x14ac:dyDescent="0.3">
      <c r="A382" s="110"/>
      <c r="B382" s="110"/>
      <c r="C382" s="110"/>
      <c r="D382" s="110"/>
      <c r="E382" s="110"/>
      <c r="F382" s="110"/>
      <c r="G382" s="110"/>
      <c r="H382" s="110"/>
      <c r="I382" s="111"/>
    </row>
    <row r="383" spans="1:10" ht="14.4" customHeight="1" x14ac:dyDescent="0.3">
      <c r="A383" s="428" t="s">
        <v>12</v>
      </c>
      <c r="B383" s="428"/>
      <c r="C383" s="429" t="str">
        <f>VLOOKUP(A384,PRESUPUESTO!$A$14:$G$83,2,)</f>
        <v>Tomacorriente GFCI</v>
      </c>
      <c r="D383" s="430"/>
      <c r="E383" s="430"/>
      <c r="F383" s="430"/>
      <c r="G383" s="430"/>
      <c r="H383" s="431"/>
      <c r="I383" s="104" t="s">
        <v>14</v>
      </c>
    </row>
    <row r="384" spans="1:10" x14ac:dyDescent="0.3">
      <c r="A384" s="428">
        <v>4.17</v>
      </c>
      <c r="B384" s="428"/>
      <c r="C384" s="432"/>
      <c r="D384" s="433"/>
      <c r="E384" s="433"/>
      <c r="F384" s="433"/>
      <c r="G384" s="433"/>
      <c r="H384" s="434"/>
      <c r="I384" s="104" t="str">
        <f>VLOOKUP(A384,PRESUPUESTO!$A$14:$G$83,4,)</f>
        <v>UND</v>
      </c>
    </row>
    <row r="385" spans="1:10" ht="16.850000000000001" customHeight="1" x14ac:dyDescent="0.3">
      <c r="A385" s="428" t="s">
        <v>13</v>
      </c>
      <c r="B385" s="428"/>
      <c r="C385" s="428"/>
      <c r="D385" s="104" t="s">
        <v>72</v>
      </c>
      <c r="E385" s="104" t="s">
        <v>75</v>
      </c>
      <c r="F385" s="104" t="s">
        <v>76</v>
      </c>
      <c r="G385" s="435" t="s">
        <v>74</v>
      </c>
      <c r="H385" s="436"/>
      <c r="I385" s="104" t="s">
        <v>1</v>
      </c>
      <c r="J385" s="105"/>
    </row>
    <row r="386" spans="1:10" x14ac:dyDescent="0.3">
      <c r="A386" s="422" t="s">
        <v>317</v>
      </c>
      <c r="B386" s="422"/>
      <c r="C386" s="106" t="s">
        <v>319</v>
      </c>
      <c r="D386" s="106"/>
      <c r="E386" s="106"/>
      <c r="F386" s="106"/>
      <c r="G386" s="423">
        <v>4</v>
      </c>
      <c r="H386" s="424"/>
      <c r="I386" s="107">
        <f>G386</f>
        <v>4</v>
      </c>
      <c r="J386" s="108"/>
    </row>
    <row r="387" spans="1:10" x14ac:dyDescent="0.3">
      <c r="A387" s="422"/>
      <c r="B387" s="422"/>
      <c r="C387" s="106"/>
      <c r="D387" s="106"/>
      <c r="E387" s="106"/>
      <c r="F387" s="106"/>
      <c r="G387" s="423"/>
      <c r="H387" s="424"/>
      <c r="I387" s="107"/>
      <c r="J387" s="108"/>
    </row>
    <row r="388" spans="1:10" x14ac:dyDescent="0.3">
      <c r="A388" s="422"/>
      <c r="B388" s="422"/>
      <c r="C388" s="106"/>
      <c r="D388" s="106"/>
      <c r="E388" s="106"/>
      <c r="F388" s="106"/>
      <c r="G388" s="423"/>
      <c r="H388" s="424"/>
      <c r="I388" s="107"/>
      <c r="J388" s="108"/>
    </row>
    <row r="389" spans="1:10" x14ac:dyDescent="0.3">
      <c r="A389" s="422"/>
      <c r="B389" s="422"/>
      <c r="C389" s="106"/>
      <c r="D389" s="106"/>
      <c r="E389" s="106"/>
      <c r="F389" s="106"/>
      <c r="G389" s="423"/>
      <c r="H389" s="424"/>
      <c r="I389" s="107"/>
      <c r="J389" s="108"/>
    </row>
    <row r="390" spans="1:10" x14ac:dyDescent="0.3">
      <c r="A390" s="422"/>
      <c r="B390" s="422"/>
      <c r="C390" s="106"/>
      <c r="D390" s="106"/>
      <c r="E390" s="106"/>
      <c r="F390" s="106"/>
      <c r="G390" s="423"/>
      <c r="H390" s="424"/>
      <c r="I390" s="107"/>
      <c r="J390" s="108"/>
    </row>
    <row r="391" spans="1:10" x14ac:dyDescent="0.3">
      <c r="A391" s="422"/>
      <c r="B391" s="422"/>
      <c r="C391" s="112"/>
      <c r="D391" s="106"/>
      <c r="E391" s="106"/>
      <c r="F391" s="106"/>
      <c r="G391" s="423"/>
      <c r="H391" s="424"/>
      <c r="I391" s="107"/>
      <c r="J391" s="108"/>
    </row>
    <row r="392" spans="1:10" x14ac:dyDescent="0.3">
      <c r="A392" s="422"/>
      <c r="B392" s="422"/>
      <c r="C392" s="112"/>
      <c r="D392" s="106"/>
      <c r="E392" s="106"/>
      <c r="F392" s="106"/>
      <c r="G392" s="423"/>
      <c r="H392" s="424"/>
      <c r="I392" s="107"/>
      <c r="J392" s="108"/>
    </row>
    <row r="393" spans="1:10" x14ac:dyDescent="0.3">
      <c r="A393" s="425" t="s">
        <v>1</v>
      </c>
      <c r="B393" s="426"/>
      <c r="C393" s="426"/>
      <c r="D393" s="426"/>
      <c r="E393" s="426"/>
      <c r="F393" s="426"/>
      <c r="G393" s="426"/>
      <c r="H393" s="427"/>
      <c r="I393" s="109">
        <f>SUM(I386:I392)</f>
        <v>4</v>
      </c>
    </row>
    <row r="394" spans="1:10" x14ac:dyDescent="0.3">
      <c r="A394" s="110"/>
      <c r="B394" s="110"/>
      <c r="C394" s="110"/>
      <c r="D394" s="110"/>
      <c r="E394" s="110"/>
      <c r="F394" s="110"/>
      <c r="G394" s="110"/>
      <c r="H394" s="110"/>
      <c r="I394" s="111"/>
    </row>
    <row r="395" spans="1:10" ht="14.4" customHeight="1" x14ac:dyDescent="0.3">
      <c r="A395" s="428" t="s">
        <v>12</v>
      </c>
      <c r="B395" s="428"/>
      <c r="C395" s="429" t="str">
        <f>VLOOKUP(A396,PRESUPUESTO!$A$14:$G$83,2,)</f>
        <v>Tuberia PVC Conduit 1/2"</v>
      </c>
      <c r="D395" s="430"/>
      <c r="E395" s="430"/>
      <c r="F395" s="430"/>
      <c r="G395" s="430"/>
      <c r="H395" s="431"/>
      <c r="I395" s="104" t="s">
        <v>14</v>
      </c>
    </row>
    <row r="396" spans="1:10" x14ac:dyDescent="0.3">
      <c r="A396" s="428">
        <v>4.18</v>
      </c>
      <c r="B396" s="428"/>
      <c r="C396" s="432"/>
      <c r="D396" s="433"/>
      <c r="E396" s="433"/>
      <c r="F396" s="433"/>
      <c r="G396" s="433"/>
      <c r="H396" s="434"/>
      <c r="I396" s="104" t="str">
        <f>VLOOKUP(A396,PRESUPUESTO!$A$14:$G$83,4,)</f>
        <v>ML</v>
      </c>
    </row>
    <row r="397" spans="1:10" ht="16.850000000000001" customHeight="1" x14ac:dyDescent="0.3">
      <c r="A397" s="428" t="s">
        <v>13</v>
      </c>
      <c r="B397" s="428"/>
      <c r="C397" s="428"/>
      <c r="D397" s="104" t="s">
        <v>72</v>
      </c>
      <c r="E397" s="104" t="s">
        <v>75</v>
      </c>
      <c r="F397" s="104" t="s">
        <v>76</v>
      </c>
      <c r="G397" s="435" t="s">
        <v>74</v>
      </c>
      <c r="H397" s="436"/>
      <c r="I397" s="104" t="s">
        <v>1</v>
      </c>
      <c r="J397" s="105"/>
    </row>
    <row r="398" spans="1:10" x14ac:dyDescent="0.3">
      <c r="A398" s="422" t="s">
        <v>592</v>
      </c>
      <c r="B398" s="422"/>
      <c r="C398" s="106" t="s">
        <v>593</v>
      </c>
      <c r="D398" s="106"/>
      <c r="E398" s="106">
        <v>2</v>
      </c>
      <c r="F398" s="106"/>
      <c r="G398" s="423">
        <v>8</v>
      </c>
      <c r="H398" s="424"/>
      <c r="I398" s="107">
        <f>G398*E398</f>
        <v>16</v>
      </c>
      <c r="J398" s="108"/>
    </row>
    <row r="399" spans="1:10" x14ac:dyDescent="0.3">
      <c r="A399" s="422"/>
      <c r="B399" s="422"/>
      <c r="C399" s="106"/>
      <c r="D399" s="106"/>
      <c r="E399" s="106"/>
      <c r="F399" s="106"/>
      <c r="G399" s="423"/>
      <c r="H399" s="424"/>
      <c r="I399" s="107"/>
      <c r="J399" s="108"/>
    </row>
    <row r="400" spans="1:10" x14ac:dyDescent="0.3">
      <c r="A400" s="422"/>
      <c r="B400" s="422"/>
      <c r="C400" s="106"/>
      <c r="D400" s="106"/>
      <c r="E400" s="106"/>
      <c r="F400" s="106"/>
      <c r="G400" s="423"/>
      <c r="H400" s="424"/>
      <c r="I400" s="107"/>
      <c r="J400" s="108"/>
    </row>
    <row r="401" spans="1:10" x14ac:dyDescent="0.3">
      <c r="A401" s="422"/>
      <c r="B401" s="422"/>
      <c r="C401" s="106"/>
      <c r="D401" s="106"/>
      <c r="E401" s="106"/>
      <c r="F401" s="106"/>
      <c r="G401" s="423"/>
      <c r="H401" s="424"/>
      <c r="I401" s="107"/>
      <c r="J401" s="108"/>
    </row>
    <row r="402" spans="1:10" x14ac:dyDescent="0.3">
      <c r="A402" s="422"/>
      <c r="B402" s="422"/>
      <c r="C402" s="106"/>
      <c r="D402" s="106"/>
      <c r="E402" s="106"/>
      <c r="F402" s="106"/>
      <c r="G402" s="423"/>
      <c r="H402" s="424"/>
      <c r="I402" s="107"/>
      <c r="J402" s="108"/>
    </row>
    <row r="403" spans="1:10" x14ac:dyDescent="0.3">
      <c r="A403" s="422"/>
      <c r="B403" s="422"/>
      <c r="C403" s="112"/>
      <c r="D403" s="106"/>
      <c r="E403" s="106"/>
      <c r="F403" s="106"/>
      <c r="G403" s="423"/>
      <c r="H403" s="424"/>
      <c r="I403" s="107"/>
      <c r="J403" s="108"/>
    </row>
    <row r="404" spans="1:10" x14ac:dyDescent="0.3">
      <c r="A404" s="422"/>
      <c r="B404" s="422"/>
      <c r="C404" s="112"/>
      <c r="D404" s="106"/>
      <c r="E404" s="106"/>
      <c r="F404" s="106"/>
      <c r="G404" s="423"/>
      <c r="H404" s="424"/>
      <c r="I404" s="107"/>
      <c r="J404" s="108"/>
    </row>
    <row r="405" spans="1:10" x14ac:dyDescent="0.3">
      <c r="A405" s="425" t="s">
        <v>1</v>
      </c>
      <c r="B405" s="426"/>
      <c r="C405" s="426"/>
      <c r="D405" s="426"/>
      <c r="E405" s="426"/>
      <c r="F405" s="426"/>
      <c r="G405" s="426"/>
      <c r="H405" s="427"/>
      <c r="I405" s="109">
        <f>SUM(I398:I404)</f>
        <v>16</v>
      </c>
    </row>
    <row r="406" spans="1:10" x14ac:dyDescent="0.3">
      <c r="A406" s="110"/>
      <c r="B406" s="110"/>
      <c r="C406" s="110"/>
      <c r="D406" s="110"/>
      <c r="E406" s="110"/>
      <c r="F406" s="110"/>
      <c r="G406" s="110"/>
      <c r="H406" s="110"/>
      <c r="I406" s="111"/>
    </row>
    <row r="407" spans="1:10" ht="14.4" customHeight="1" x14ac:dyDescent="0.3">
      <c r="A407" s="428" t="s">
        <v>12</v>
      </c>
      <c r="B407" s="428"/>
      <c r="C407" s="429" t="str">
        <f>VLOOKUP(A408,PRESUPUESTO!$A$14:$G$83,2,)</f>
        <v xml:space="preserve">Suministro e instalacion de correas metalicas en perfil retangular de ( 120 x 50 x 2 mm) </v>
      </c>
      <c r="D407" s="430"/>
      <c r="E407" s="430"/>
      <c r="F407" s="430"/>
      <c r="G407" s="430"/>
      <c r="H407" s="431"/>
      <c r="I407" s="104" t="s">
        <v>14</v>
      </c>
    </row>
    <row r="408" spans="1:10" x14ac:dyDescent="0.3">
      <c r="A408" s="428">
        <v>5.0999999999999996</v>
      </c>
      <c r="B408" s="428"/>
      <c r="C408" s="432"/>
      <c r="D408" s="433"/>
      <c r="E408" s="433"/>
      <c r="F408" s="433"/>
      <c r="G408" s="433"/>
      <c r="H408" s="434"/>
      <c r="I408" s="104" t="str">
        <f>VLOOKUP(A408,PRESUPUESTO!$A$14:$G$83,4,)</f>
        <v>ML</v>
      </c>
    </row>
    <row r="409" spans="1:10" ht="16.850000000000001" customHeight="1" x14ac:dyDescent="0.3">
      <c r="A409" s="428" t="s">
        <v>13</v>
      </c>
      <c r="B409" s="428"/>
      <c r="C409" s="428"/>
      <c r="D409" s="104" t="s">
        <v>72</v>
      </c>
      <c r="E409" s="104" t="s">
        <v>75</v>
      </c>
      <c r="F409" s="104" t="s">
        <v>76</v>
      </c>
      <c r="G409" s="435" t="s">
        <v>74</v>
      </c>
      <c r="H409" s="436"/>
      <c r="I409" s="104" t="s">
        <v>1</v>
      </c>
      <c r="J409" s="105"/>
    </row>
    <row r="410" spans="1:10" x14ac:dyDescent="0.3">
      <c r="A410" s="422" t="s">
        <v>294</v>
      </c>
      <c r="B410" s="422"/>
      <c r="C410" s="106" t="s">
        <v>295</v>
      </c>
      <c r="D410" s="106"/>
      <c r="E410" s="106">
        <v>15.1</v>
      </c>
      <c r="F410" s="106"/>
      <c r="G410" s="423">
        <v>18</v>
      </c>
      <c r="H410" s="424"/>
      <c r="I410" s="107">
        <f>E410*G410</f>
        <v>271.8</v>
      </c>
      <c r="J410" s="108"/>
    </row>
    <row r="411" spans="1:10" x14ac:dyDescent="0.3">
      <c r="A411" s="422"/>
      <c r="B411" s="422"/>
      <c r="C411" s="106"/>
      <c r="D411" s="106"/>
      <c r="E411" s="106"/>
      <c r="F411" s="106"/>
      <c r="G411" s="423"/>
      <c r="H411" s="424"/>
      <c r="I411" s="107"/>
      <c r="J411" s="108"/>
    </row>
    <row r="412" spans="1:10" x14ac:dyDescent="0.3">
      <c r="A412" s="422"/>
      <c r="B412" s="422"/>
      <c r="C412" s="106"/>
      <c r="D412" s="106"/>
      <c r="E412" s="106"/>
      <c r="F412" s="106"/>
      <c r="G412" s="423"/>
      <c r="H412" s="424"/>
      <c r="I412" s="107"/>
      <c r="J412" s="108"/>
    </row>
    <row r="413" spans="1:10" x14ac:dyDescent="0.3">
      <c r="A413" s="422"/>
      <c r="B413" s="422"/>
      <c r="C413" s="106"/>
      <c r="D413" s="106"/>
      <c r="E413" s="106"/>
      <c r="F413" s="106"/>
      <c r="G413" s="423"/>
      <c r="H413" s="424"/>
      <c r="I413" s="107"/>
      <c r="J413" s="108"/>
    </row>
    <row r="414" spans="1:10" x14ac:dyDescent="0.3">
      <c r="A414" s="422"/>
      <c r="B414" s="422"/>
      <c r="C414" s="112"/>
      <c r="D414" s="106"/>
      <c r="E414" s="106"/>
      <c r="F414" s="106"/>
      <c r="G414" s="423"/>
      <c r="H414" s="424"/>
      <c r="I414" s="107"/>
      <c r="J414" s="108"/>
    </row>
    <row r="415" spans="1:10" x14ac:dyDescent="0.3">
      <c r="A415" s="422"/>
      <c r="B415" s="422"/>
      <c r="C415" s="112"/>
      <c r="D415" s="106"/>
      <c r="E415" s="106"/>
      <c r="F415" s="106"/>
      <c r="G415" s="423"/>
      <c r="H415" s="424"/>
      <c r="I415" s="107"/>
      <c r="J415" s="108"/>
    </row>
    <row r="416" spans="1:10" x14ac:dyDescent="0.3">
      <c r="A416" s="425" t="s">
        <v>1</v>
      </c>
      <c r="B416" s="426"/>
      <c r="C416" s="426"/>
      <c r="D416" s="426"/>
      <c r="E416" s="426"/>
      <c r="F416" s="426"/>
      <c r="G416" s="426"/>
      <c r="H416" s="427"/>
      <c r="I416" s="109">
        <f>SUM(I410:I415)</f>
        <v>271.8</v>
      </c>
    </row>
    <row r="417" spans="1:10" x14ac:dyDescent="0.3">
      <c r="A417" s="110"/>
      <c r="B417" s="110"/>
      <c r="C417" s="110"/>
      <c r="D417" s="110"/>
      <c r="E417" s="110"/>
      <c r="F417" s="110"/>
      <c r="G417" s="110"/>
      <c r="H417" s="110"/>
      <c r="I417" s="111"/>
    </row>
    <row r="418" spans="1:10" ht="14.4" customHeight="1" x14ac:dyDescent="0.3">
      <c r="A418" s="428" t="s">
        <v>12</v>
      </c>
      <c r="B418" s="428"/>
      <c r="C418" s="429" t="str">
        <f>VLOOKUP(A419,PRESUPUESTO!$A$14:$G$83,2,)</f>
        <v>Suministro e instalacion de tejas arquitectonica de Cal 28</v>
      </c>
      <c r="D418" s="430"/>
      <c r="E418" s="430"/>
      <c r="F418" s="430"/>
      <c r="G418" s="430"/>
      <c r="H418" s="431"/>
      <c r="I418" s="104" t="s">
        <v>14</v>
      </c>
    </row>
    <row r="419" spans="1:10" x14ac:dyDescent="0.3">
      <c r="A419" s="428">
        <v>5.2</v>
      </c>
      <c r="B419" s="428"/>
      <c r="C419" s="432"/>
      <c r="D419" s="433"/>
      <c r="E419" s="433"/>
      <c r="F419" s="433"/>
      <c r="G419" s="433"/>
      <c r="H419" s="434"/>
      <c r="I419" s="104" t="str">
        <f>VLOOKUP(A419,PRESUPUESTO!$A$14:$G$83,4,)</f>
        <v>M2</v>
      </c>
    </row>
    <row r="420" spans="1:10" ht="16.850000000000001" customHeight="1" x14ac:dyDescent="0.3">
      <c r="A420" s="428" t="s">
        <v>13</v>
      </c>
      <c r="B420" s="428"/>
      <c r="C420" s="428"/>
      <c r="D420" s="104" t="s">
        <v>72</v>
      </c>
      <c r="E420" s="104" t="s">
        <v>75</v>
      </c>
      <c r="F420" s="104" t="s">
        <v>76</v>
      </c>
      <c r="G420" s="435" t="s">
        <v>74</v>
      </c>
      <c r="H420" s="436"/>
      <c r="I420" s="104" t="s">
        <v>1</v>
      </c>
      <c r="J420" s="105"/>
    </row>
    <row r="421" spans="1:10" x14ac:dyDescent="0.3">
      <c r="A421" s="422" t="s">
        <v>296</v>
      </c>
      <c r="B421" s="422"/>
      <c r="C421" s="106" t="s">
        <v>478</v>
      </c>
      <c r="D421" s="106">
        <v>15.1</v>
      </c>
      <c r="E421" s="106">
        <v>6.7</v>
      </c>
      <c r="F421" s="106"/>
      <c r="G421" s="423">
        <v>1</v>
      </c>
      <c r="H421" s="424"/>
      <c r="I421" s="107">
        <f>D421*E421*G421</f>
        <v>101.17</v>
      </c>
      <c r="J421" s="108"/>
    </row>
    <row r="422" spans="1:10" x14ac:dyDescent="0.3">
      <c r="A422" s="422" t="s">
        <v>296</v>
      </c>
      <c r="B422" s="422"/>
      <c r="C422" s="106" t="s">
        <v>478</v>
      </c>
      <c r="D422" s="106">
        <v>15.1</v>
      </c>
      <c r="E422" s="106">
        <v>6.9</v>
      </c>
      <c r="F422" s="106"/>
      <c r="G422" s="423">
        <v>1</v>
      </c>
      <c r="H422" s="424"/>
      <c r="I422" s="107">
        <f>D422*E422*G422</f>
        <v>104.19</v>
      </c>
      <c r="J422" s="108"/>
    </row>
    <row r="423" spans="1:10" x14ac:dyDescent="0.3">
      <c r="A423" s="422"/>
      <c r="B423" s="422"/>
      <c r="C423" s="106"/>
      <c r="D423" s="106"/>
      <c r="E423" s="106"/>
      <c r="F423" s="106"/>
      <c r="G423" s="423"/>
      <c r="H423" s="424"/>
      <c r="I423" s="107"/>
      <c r="J423" s="108"/>
    </row>
    <row r="424" spans="1:10" x14ac:dyDescent="0.3">
      <c r="A424" s="422"/>
      <c r="B424" s="422"/>
      <c r="C424" s="106"/>
      <c r="D424" s="106"/>
      <c r="E424" s="106"/>
      <c r="F424" s="106"/>
      <c r="G424" s="423"/>
      <c r="H424" s="424"/>
      <c r="I424" s="107"/>
      <c r="J424" s="108"/>
    </row>
    <row r="425" spans="1:10" x14ac:dyDescent="0.3">
      <c r="A425" s="422"/>
      <c r="B425" s="422"/>
      <c r="C425" s="106"/>
      <c r="D425" s="106"/>
      <c r="E425" s="106"/>
      <c r="F425" s="106"/>
      <c r="G425" s="423"/>
      <c r="H425" s="424"/>
      <c r="I425" s="107"/>
      <c r="J425" s="108"/>
    </row>
    <row r="426" spans="1:10" x14ac:dyDescent="0.3">
      <c r="A426" s="422"/>
      <c r="B426" s="422"/>
      <c r="C426" s="112"/>
      <c r="D426" s="106"/>
      <c r="E426" s="106"/>
      <c r="F426" s="106"/>
      <c r="G426" s="423"/>
      <c r="H426" s="424"/>
      <c r="I426" s="107"/>
      <c r="J426" s="108"/>
    </row>
    <row r="427" spans="1:10" x14ac:dyDescent="0.3">
      <c r="A427" s="422"/>
      <c r="B427" s="422"/>
      <c r="C427" s="112"/>
      <c r="D427" s="106"/>
      <c r="E427" s="106"/>
      <c r="F427" s="106"/>
      <c r="G427" s="423"/>
      <c r="H427" s="424"/>
      <c r="I427" s="107"/>
      <c r="J427" s="108"/>
    </row>
    <row r="428" spans="1:10" x14ac:dyDescent="0.3">
      <c r="A428" s="425" t="s">
        <v>1</v>
      </c>
      <c r="B428" s="426"/>
      <c r="C428" s="426"/>
      <c r="D428" s="426"/>
      <c r="E428" s="426"/>
      <c r="F428" s="426"/>
      <c r="G428" s="426"/>
      <c r="H428" s="427"/>
      <c r="I428" s="109">
        <f>SUM(I421:I427)</f>
        <v>205.36</v>
      </c>
    </row>
    <row r="429" spans="1:10" x14ac:dyDescent="0.3">
      <c r="A429" s="110"/>
      <c r="B429" s="110"/>
      <c r="C429" s="110"/>
      <c r="D429" s="110"/>
      <c r="E429" s="110"/>
      <c r="F429" s="110"/>
      <c r="G429" s="110"/>
      <c r="H429" s="110"/>
      <c r="I429" s="111"/>
    </row>
    <row r="430" spans="1:10" ht="14.4" customHeight="1" x14ac:dyDescent="0.3">
      <c r="A430" s="428" t="s">
        <v>12</v>
      </c>
      <c r="B430" s="428"/>
      <c r="C430" s="429" t="str">
        <f>VLOOKUP(A431,PRESUPUESTO!$A$14:$G$83,2,)</f>
        <v>Suministro e instalacion de caballete arquitectonico de Cal 28</v>
      </c>
      <c r="D430" s="430"/>
      <c r="E430" s="430"/>
      <c r="F430" s="430"/>
      <c r="G430" s="430"/>
      <c r="H430" s="431"/>
      <c r="I430" s="104" t="s">
        <v>14</v>
      </c>
    </row>
    <row r="431" spans="1:10" x14ac:dyDescent="0.3">
      <c r="A431" s="428">
        <v>5.3</v>
      </c>
      <c r="B431" s="428"/>
      <c r="C431" s="432"/>
      <c r="D431" s="433"/>
      <c r="E431" s="433"/>
      <c r="F431" s="433"/>
      <c r="G431" s="433"/>
      <c r="H431" s="434"/>
      <c r="I431" s="104" t="str">
        <f>VLOOKUP(A431,PRESUPUESTO!$A$14:$G$83,4,)</f>
        <v>ML</v>
      </c>
    </row>
    <row r="432" spans="1:10" ht="16.850000000000001" customHeight="1" x14ac:dyDescent="0.3">
      <c r="A432" s="428" t="s">
        <v>13</v>
      </c>
      <c r="B432" s="428"/>
      <c r="C432" s="428"/>
      <c r="D432" s="104" t="s">
        <v>72</v>
      </c>
      <c r="E432" s="104" t="s">
        <v>75</v>
      </c>
      <c r="F432" s="104" t="s">
        <v>76</v>
      </c>
      <c r="G432" s="435" t="s">
        <v>74</v>
      </c>
      <c r="H432" s="436"/>
      <c r="I432" s="104" t="s">
        <v>1</v>
      </c>
      <c r="J432" s="105"/>
    </row>
    <row r="433" spans="1:10" x14ac:dyDescent="0.3">
      <c r="A433" s="422" t="s">
        <v>296</v>
      </c>
      <c r="B433" s="422"/>
      <c r="C433" s="106" t="s">
        <v>478</v>
      </c>
      <c r="D433" s="106">
        <v>15.1</v>
      </c>
      <c r="E433" s="106"/>
      <c r="F433" s="106"/>
      <c r="G433" s="423">
        <v>1</v>
      </c>
      <c r="H433" s="424"/>
      <c r="I433" s="107">
        <f>D433*G433</f>
        <v>15.1</v>
      </c>
      <c r="J433" s="108"/>
    </row>
    <row r="434" spans="1:10" x14ac:dyDescent="0.3">
      <c r="A434" s="422"/>
      <c r="B434" s="422"/>
      <c r="C434" s="106"/>
      <c r="D434" s="106"/>
      <c r="E434" s="106"/>
      <c r="F434" s="106"/>
      <c r="G434" s="423"/>
      <c r="H434" s="424"/>
      <c r="I434" s="107"/>
      <c r="J434" s="108"/>
    </row>
    <row r="435" spans="1:10" x14ac:dyDescent="0.3">
      <c r="A435" s="422"/>
      <c r="B435" s="422"/>
      <c r="C435" s="106"/>
      <c r="D435" s="106"/>
      <c r="E435" s="106"/>
      <c r="F435" s="106"/>
      <c r="G435" s="423"/>
      <c r="H435" s="424"/>
      <c r="I435" s="107"/>
      <c r="J435" s="108"/>
    </row>
    <row r="436" spans="1:10" x14ac:dyDescent="0.3">
      <c r="A436" s="422"/>
      <c r="B436" s="422"/>
      <c r="C436" s="106"/>
      <c r="D436" s="106"/>
      <c r="E436" s="106"/>
      <c r="F436" s="106"/>
      <c r="G436" s="423"/>
      <c r="H436" s="424"/>
      <c r="I436" s="107"/>
      <c r="J436" s="108"/>
    </row>
    <row r="437" spans="1:10" x14ac:dyDescent="0.3">
      <c r="A437" s="422"/>
      <c r="B437" s="422"/>
      <c r="C437" s="106"/>
      <c r="D437" s="106"/>
      <c r="E437" s="106"/>
      <c r="F437" s="106"/>
      <c r="G437" s="423"/>
      <c r="H437" s="424"/>
      <c r="I437" s="107"/>
      <c r="J437" s="108"/>
    </row>
    <row r="438" spans="1:10" x14ac:dyDescent="0.3">
      <c r="A438" s="422"/>
      <c r="B438" s="422"/>
      <c r="C438" s="112"/>
      <c r="D438" s="106"/>
      <c r="E438" s="106"/>
      <c r="F438" s="106"/>
      <c r="G438" s="423"/>
      <c r="H438" s="424"/>
      <c r="I438" s="107"/>
      <c r="J438" s="108"/>
    </row>
    <row r="439" spans="1:10" x14ac:dyDescent="0.3">
      <c r="A439" s="422"/>
      <c r="B439" s="422"/>
      <c r="C439" s="112"/>
      <c r="D439" s="106"/>
      <c r="E439" s="106"/>
      <c r="F439" s="106"/>
      <c r="G439" s="423"/>
      <c r="H439" s="424"/>
      <c r="I439" s="107"/>
      <c r="J439" s="108"/>
    </row>
    <row r="440" spans="1:10" x14ac:dyDescent="0.3">
      <c r="A440" s="425" t="s">
        <v>1</v>
      </c>
      <c r="B440" s="426"/>
      <c r="C440" s="426"/>
      <c r="D440" s="426"/>
      <c r="E440" s="426"/>
      <c r="F440" s="426"/>
      <c r="G440" s="426"/>
      <c r="H440" s="427"/>
      <c r="I440" s="109">
        <f>SUM(I433:I439)</f>
        <v>15.1</v>
      </c>
    </row>
    <row r="441" spans="1:10" x14ac:dyDescent="0.3">
      <c r="A441" s="110"/>
      <c r="B441" s="110"/>
      <c r="C441" s="110"/>
      <c r="D441" s="110"/>
      <c r="E441" s="110"/>
      <c r="F441" s="110"/>
      <c r="G441" s="110"/>
      <c r="H441" s="110"/>
      <c r="I441" s="111"/>
    </row>
    <row r="442" spans="1:10" ht="14.4" customHeight="1" x14ac:dyDescent="0.3">
      <c r="A442" s="428" t="s">
        <v>12</v>
      </c>
      <c r="B442" s="428"/>
      <c r="C442" s="429" t="str">
        <f>VLOOKUP(A443,PRESUPUESTO!$A$14:$G$83,2,)</f>
        <v>Muro en mamposteria en ladrillo farol No4.</v>
      </c>
      <c r="D442" s="430"/>
      <c r="E442" s="430"/>
      <c r="F442" s="430"/>
      <c r="G442" s="430"/>
      <c r="H442" s="431"/>
      <c r="I442" s="104" t="s">
        <v>14</v>
      </c>
    </row>
    <row r="443" spans="1:10" x14ac:dyDescent="0.3">
      <c r="A443" s="428">
        <v>6.1</v>
      </c>
      <c r="B443" s="428"/>
      <c r="C443" s="432"/>
      <c r="D443" s="433"/>
      <c r="E443" s="433"/>
      <c r="F443" s="433"/>
      <c r="G443" s="433"/>
      <c r="H443" s="434"/>
      <c r="I443" s="104" t="str">
        <f>VLOOKUP(A443,PRESUPUESTO!$A$14:$G$83,4,)</f>
        <v>M2</v>
      </c>
    </row>
    <row r="444" spans="1:10" ht="16.850000000000001" customHeight="1" x14ac:dyDescent="0.3">
      <c r="A444" s="428" t="s">
        <v>13</v>
      </c>
      <c r="B444" s="428"/>
      <c r="C444" s="428"/>
      <c r="D444" s="104" t="s">
        <v>72</v>
      </c>
      <c r="E444" s="104" t="s">
        <v>75</v>
      </c>
      <c r="F444" s="104" t="s">
        <v>76</v>
      </c>
      <c r="G444" s="435" t="s">
        <v>74</v>
      </c>
      <c r="H444" s="436"/>
      <c r="I444" s="104" t="s">
        <v>1</v>
      </c>
      <c r="J444" s="105"/>
    </row>
    <row r="445" spans="1:10" x14ac:dyDescent="0.3">
      <c r="A445" s="422" t="s">
        <v>298</v>
      </c>
      <c r="B445" s="422"/>
      <c r="C445" s="106" t="s">
        <v>594</v>
      </c>
      <c r="D445" s="106"/>
      <c r="E445" s="106">
        <v>12.65</v>
      </c>
      <c r="F445" s="106">
        <v>3</v>
      </c>
      <c r="G445" s="423">
        <v>1</v>
      </c>
      <c r="H445" s="424"/>
      <c r="I445" s="107">
        <f>E445*G445*F445</f>
        <v>37.950000000000003</v>
      </c>
      <c r="J445" s="108"/>
    </row>
    <row r="446" spans="1:10" x14ac:dyDescent="0.3">
      <c r="A446" s="422" t="s">
        <v>298</v>
      </c>
      <c r="B446" s="422"/>
      <c r="C446" s="106" t="s">
        <v>595</v>
      </c>
      <c r="D446" s="106"/>
      <c r="E446" s="106">
        <v>10.5</v>
      </c>
      <c r="F446" s="106">
        <v>3</v>
      </c>
      <c r="G446" s="423">
        <v>1</v>
      </c>
      <c r="H446" s="424"/>
      <c r="I446" s="107">
        <f t="shared" ref="I446:I461" si="44">E446*G446*F446</f>
        <v>31.5</v>
      </c>
      <c r="J446" s="108"/>
    </row>
    <row r="447" spans="1:10" x14ac:dyDescent="0.3">
      <c r="A447" s="422" t="s">
        <v>298</v>
      </c>
      <c r="B447" s="422"/>
      <c r="C447" s="106" t="s">
        <v>596</v>
      </c>
      <c r="D447" s="106"/>
      <c r="E447" s="106">
        <v>10.5</v>
      </c>
      <c r="F447" s="106">
        <v>3</v>
      </c>
      <c r="G447" s="423">
        <v>1</v>
      </c>
      <c r="H447" s="424"/>
      <c r="I447" s="107">
        <f t="shared" si="44"/>
        <v>31.5</v>
      </c>
      <c r="J447" s="108"/>
    </row>
    <row r="448" spans="1:10" x14ac:dyDescent="0.3">
      <c r="A448" s="422" t="s">
        <v>298</v>
      </c>
      <c r="B448" s="422"/>
      <c r="C448" s="106" t="s">
        <v>597</v>
      </c>
      <c r="D448" s="106"/>
      <c r="E448" s="106">
        <v>12.65</v>
      </c>
      <c r="F448" s="106">
        <v>3</v>
      </c>
      <c r="G448" s="423">
        <v>1</v>
      </c>
      <c r="H448" s="424"/>
      <c r="I448" s="107">
        <f t="shared" si="44"/>
        <v>37.950000000000003</v>
      </c>
      <c r="J448" s="108"/>
    </row>
    <row r="449" spans="1:10" x14ac:dyDescent="0.3">
      <c r="A449" s="422" t="s">
        <v>298</v>
      </c>
      <c r="B449" s="422"/>
      <c r="C449" s="106" t="s">
        <v>598</v>
      </c>
      <c r="D449" s="106"/>
      <c r="E449" s="106">
        <v>11.98</v>
      </c>
      <c r="F449" s="106">
        <v>3</v>
      </c>
      <c r="G449" s="423">
        <v>1</v>
      </c>
      <c r="H449" s="424"/>
      <c r="I449" s="107">
        <f t="shared" si="44"/>
        <v>35.94</v>
      </c>
      <c r="J449" s="108"/>
    </row>
    <row r="450" spans="1:10" x14ac:dyDescent="0.3">
      <c r="A450" s="422" t="s">
        <v>298</v>
      </c>
      <c r="B450" s="422"/>
      <c r="C450" s="106" t="s">
        <v>599</v>
      </c>
      <c r="D450" s="106"/>
      <c r="E450" s="106">
        <v>11.98</v>
      </c>
      <c r="F450" s="106">
        <v>3</v>
      </c>
      <c r="G450" s="423">
        <v>1</v>
      </c>
      <c r="H450" s="424"/>
      <c r="I450" s="107">
        <f t="shared" si="44"/>
        <v>35.94</v>
      </c>
      <c r="J450" s="108"/>
    </row>
    <row r="451" spans="1:10" x14ac:dyDescent="0.3">
      <c r="A451" s="422" t="s">
        <v>298</v>
      </c>
      <c r="B451" s="422"/>
      <c r="C451" s="106" t="s">
        <v>600</v>
      </c>
      <c r="D451" s="106"/>
      <c r="E451" s="106">
        <v>11.98</v>
      </c>
      <c r="F451" s="106">
        <v>3</v>
      </c>
      <c r="G451" s="423">
        <v>1</v>
      </c>
      <c r="H451" s="424"/>
      <c r="I451" s="107">
        <f t="shared" si="44"/>
        <v>35.94</v>
      </c>
      <c r="J451" s="108"/>
    </row>
    <row r="452" spans="1:10" x14ac:dyDescent="0.3">
      <c r="A452" s="422" t="s">
        <v>298</v>
      </c>
      <c r="B452" s="422"/>
      <c r="C452" s="106" t="s">
        <v>601</v>
      </c>
      <c r="D452" s="106"/>
      <c r="E452" s="106">
        <v>6.8</v>
      </c>
      <c r="F452" s="106">
        <v>3</v>
      </c>
      <c r="G452" s="423">
        <v>1</v>
      </c>
      <c r="H452" s="424"/>
      <c r="I452" s="107">
        <f t="shared" si="44"/>
        <v>20.399999999999999</v>
      </c>
      <c r="J452" s="108"/>
    </row>
    <row r="453" spans="1:10" x14ac:dyDescent="0.3">
      <c r="A453" s="422" t="s">
        <v>298</v>
      </c>
      <c r="B453" s="422"/>
      <c r="C453" s="106" t="s">
        <v>602</v>
      </c>
      <c r="D453" s="106"/>
      <c r="E453" s="106">
        <v>2.2999999999999998</v>
      </c>
      <c r="F453" s="106">
        <v>3</v>
      </c>
      <c r="G453" s="423">
        <v>1</v>
      </c>
      <c r="H453" s="424"/>
      <c r="I453" s="107">
        <f t="shared" si="44"/>
        <v>6.8999999999999995</v>
      </c>
      <c r="J453" s="108"/>
    </row>
    <row r="454" spans="1:10" x14ac:dyDescent="0.3">
      <c r="A454" s="422" t="s">
        <v>298</v>
      </c>
      <c r="B454" s="422"/>
      <c r="C454" s="106" t="s">
        <v>603</v>
      </c>
      <c r="D454" s="106"/>
      <c r="E454" s="106">
        <v>2.2999999999999998</v>
      </c>
      <c r="F454" s="106">
        <v>3</v>
      </c>
      <c r="G454" s="423">
        <v>1</v>
      </c>
      <c r="H454" s="424"/>
      <c r="I454" s="107">
        <f t="shared" si="44"/>
        <v>6.8999999999999995</v>
      </c>
      <c r="J454" s="108"/>
    </row>
    <row r="455" spans="1:10" x14ac:dyDescent="0.3">
      <c r="A455" s="422" t="s">
        <v>298</v>
      </c>
      <c r="B455" s="422"/>
      <c r="C455" s="106" t="s">
        <v>604</v>
      </c>
      <c r="D455" s="106"/>
      <c r="E455" s="106">
        <v>6</v>
      </c>
      <c r="F455" s="106">
        <v>3</v>
      </c>
      <c r="G455" s="423">
        <v>1</v>
      </c>
      <c r="H455" s="424"/>
      <c r="I455" s="107">
        <f t="shared" si="44"/>
        <v>18</v>
      </c>
      <c r="J455" s="108"/>
    </row>
    <row r="456" spans="1:10" x14ac:dyDescent="0.3">
      <c r="A456" s="422" t="s">
        <v>298</v>
      </c>
      <c r="B456" s="422"/>
      <c r="C456" s="106" t="s">
        <v>605</v>
      </c>
      <c r="D456" s="106"/>
      <c r="E456" s="106">
        <v>2.2999999999999998</v>
      </c>
      <c r="F456" s="106">
        <v>3</v>
      </c>
      <c r="G456" s="423">
        <v>1</v>
      </c>
      <c r="H456" s="424"/>
      <c r="I456" s="107">
        <f t="shared" si="44"/>
        <v>6.8999999999999995</v>
      </c>
      <c r="J456" s="108"/>
    </row>
    <row r="457" spans="1:10" x14ac:dyDescent="0.3">
      <c r="A457" s="422" t="s">
        <v>298</v>
      </c>
      <c r="B457" s="422"/>
      <c r="C457" s="106" t="s">
        <v>606</v>
      </c>
      <c r="D457" s="106"/>
      <c r="E457" s="106">
        <v>2.2999999999999998</v>
      </c>
      <c r="F457" s="106">
        <v>3</v>
      </c>
      <c r="G457" s="423">
        <v>1</v>
      </c>
      <c r="H457" s="424"/>
      <c r="I457" s="107">
        <f t="shared" si="44"/>
        <v>6.8999999999999995</v>
      </c>
      <c r="J457" s="108"/>
    </row>
    <row r="458" spans="1:10" x14ac:dyDescent="0.3">
      <c r="A458" s="422" t="s">
        <v>298</v>
      </c>
      <c r="B458" s="422"/>
      <c r="C458" s="106" t="s">
        <v>607</v>
      </c>
      <c r="D458" s="106"/>
      <c r="E458" s="106">
        <v>2.2999999999999998</v>
      </c>
      <c r="F458" s="106">
        <v>3</v>
      </c>
      <c r="G458" s="423">
        <v>1</v>
      </c>
      <c r="H458" s="424"/>
      <c r="I458" s="107">
        <f t="shared" si="44"/>
        <v>6.8999999999999995</v>
      </c>
      <c r="J458" s="108"/>
    </row>
    <row r="459" spans="1:10" x14ac:dyDescent="0.3">
      <c r="A459" s="422" t="s">
        <v>608</v>
      </c>
      <c r="B459" s="422"/>
      <c r="C459" s="106" t="s">
        <v>481</v>
      </c>
      <c r="D459" s="106"/>
      <c r="E459" s="106">
        <v>2</v>
      </c>
      <c r="F459" s="106">
        <v>1.9</v>
      </c>
      <c r="G459" s="423">
        <v>-4</v>
      </c>
      <c r="H459" s="424"/>
      <c r="I459" s="107">
        <f t="shared" si="44"/>
        <v>-15.2</v>
      </c>
      <c r="J459" s="108"/>
    </row>
    <row r="460" spans="1:10" x14ac:dyDescent="0.3">
      <c r="A460" s="422" t="s">
        <v>608</v>
      </c>
      <c r="B460" s="422"/>
      <c r="C460" s="106" t="s">
        <v>482</v>
      </c>
      <c r="D460" s="106"/>
      <c r="E460" s="106">
        <v>1</v>
      </c>
      <c r="F460" s="106">
        <v>0.6</v>
      </c>
      <c r="G460" s="423">
        <v>-4</v>
      </c>
      <c r="H460" s="424"/>
      <c r="I460" s="107">
        <f t="shared" si="44"/>
        <v>-2.4</v>
      </c>
      <c r="J460" s="108"/>
    </row>
    <row r="461" spans="1:10" x14ac:dyDescent="0.3">
      <c r="A461" s="422" t="s">
        <v>300</v>
      </c>
      <c r="B461" s="422"/>
      <c r="C461" s="106" t="s">
        <v>609</v>
      </c>
      <c r="D461" s="106"/>
      <c r="E461" s="106">
        <v>1</v>
      </c>
      <c r="F461" s="106">
        <v>2.1</v>
      </c>
      <c r="G461" s="423">
        <v>-4</v>
      </c>
      <c r="H461" s="424"/>
      <c r="I461" s="107">
        <f t="shared" si="44"/>
        <v>-8.4</v>
      </c>
      <c r="J461" s="108"/>
    </row>
    <row r="462" spans="1:10" x14ac:dyDescent="0.3">
      <c r="A462" s="422" t="s">
        <v>476</v>
      </c>
      <c r="B462" s="422"/>
      <c r="C462" s="106" t="s">
        <v>610</v>
      </c>
      <c r="D462" s="106"/>
      <c r="E462" s="106">
        <f>(11.98/2)</f>
        <v>5.99</v>
      </c>
      <c r="F462" s="106">
        <v>1.4</v>
      </c>
      <c r="G462" s="423">
        <v>3</v>
      </c>
      <c r="H462" s="424"/>
      <c r="I462" s="107">
        <f>E462*G462*F462/2</f>
        <v>12.578999999999999</v>
      </c>
      <c r="J462" s="108"/>
    </row>
    <row r="463" spans="1:10" x14ac:dyDescent="0.3">
      <c r="A463" s="422" t="s">
        <v>476</v>
      </c>
      <c r="B463" s="422"/>
      <c r="C463" s="106" t="s">
        <v>610</v>
      </c>
      <c r="D463" s="106"/>
      <c r="E463" s="106">
        <f>(11.98/2)</f>
        <v>5.99</v>
      </c>
      <c r="F463" s="106">
        <v>1.4</v>
      </c>
      <c r="G463" s="423">
        <v>3</v>
      </c>
      <c r="H463" s="424"/>
      <c r="I463" s="107">
        <f>E463*G463*F463/2</f>
        <v>12.578999999999999</v>
      </c>
      <c r="J463" s="108"/>
    </row>
    <row r="464" spans="1:10" x14ac:dyDescent="0.3">
      <c r="A464" s="422"/>
      <c r="B464" s="422"/>
      <c r="C464" s="106"/>
      <c r="D464" s="106"/>
      <c r="E464" s="106"/>
      <c r="F464" s="106"/>
      <c r="G464" s="423"/>
      <c r="H464" s="424"/>
      <c r="I464" s="107"/>
      <c r="J464" s="108"/>
    </row>
    <row r="465" spans="1:10" x14ac:dyDescent="0.3">
      <c r="A465" s="425" t="s">
        <v>1</v>
      </c>
      <c r="B465" s="426"/>
      <c r="C465" s="426"/>
      <c r="D465" s="426"/>
      <c r="E465" s="426"/>
      <c r="F465" s="426"/>
      <c r="G465" s="426"/>
      <c r="H465" s="427"/>
      <c r="I465" s="109">
        <f>SUM(I445:I464)</f>
        <v>318.77799999999996</v>
      </c>
    </row>
    <row r="466" spans="1:10" x14ac:dyDescent="0.3">
      <c r="A466" s="110"/>
      <c r="B466" s="110"/>
      <c r="C466" s="110"/>
      <c r="D466" s="110"/>
      <c r="E466" s="110"/>
      <c r="F466" s="110"/>
      <c r="G466" s="110"/>
      <c r="H466" s="110"/>
      <c r="I466" s="111"/>
    </row>
    <row r="467" spans="1:10" ht="14.4" customHeight="1" x14ac:dyDescent="0.3">
      <c r="A467" s="428" t="s">
        <v>12</v>
      </c>
      <c r="B467" s="428"/>
      <c r="C467" s="429" t="str">
        <f>VLOOKUP(A468,PRESUPUESTO!$A$14:$G$83,2,)</f>
        <v xml:space="preserve">aplicación de pañete interior y exterior </v>
      </c>
      <c r="D467" s="430"/>
      <c r="E467" s="430"/>
      <c r="F467" s="430"/>
      <c r="G467" s="430"/>
      <c r="H467" s="431"/>
      <c r="I467" s="104" t="s">
        <v>14</v>
      </c>
    </row>
    <row r="468" spans="1:10" x14ac:dyDescent="0.3">
      <c r="A468" s="428">
        <v>6.4</v>
      </c>
      <c r="B468" s="428"/>
      <c r="C468" s="432"/>
      <c r="D468" s="433"/>
      <c r="E468" s="433"/>
      <c r="F468" s="433"/>
      <c r="G468" s="433"/>
      <c r="H468" s="434"/>
      <c r="I468" s="104" t="str">
        <f>VLOOKUP(A468,PRESUPUESTO!$A$14:$G$83,4,)</f>
        <v>M2</v>
      </c>
    </row>
    <row r="469" spans="1:10" ht="16.850000000000001" customHeight="1" x14ac:dyDescent="0.3">
      <c r="A469" s="428" t="s">
        <v>13</v>
      </c>
      <c r="B469" s="428"/>
      <c r="C469" s="428"/>
      <c r="D469" s="104" t="s">
        <v>72</v>
      </c>
      <c r="E469" s="104" t="s">
        <v>75</v>
      </c>
      <c r="F469" s="104" t="s">
        <v>76</v>
      </c>
      <c r="G469" s="435" t="s">
        <v>74</v>
      </c>
      <c r="H469" s="436"/>
      <c r="I469" s="104" t="s">
        <v>1</v>
      </c>
      <c r="J469" s="105"/>
    </row>
    <row r="470" spans="1:10" x14ac:dyDescent="0.3">
      <c r="A470" s="422" t="s">
        <v>298</v>
      </c>
      <c r="B470" s="422"/>
      <c r="C470" s="106" t="s">
        <v>594</v>
      </c>
      <c r="D470" s="106"/>
      <c r="E470" s="106">
        <v>12.65</v>
      </c>
      <c r="F470" s="106">
        <v>3</v>
      </c>
      <c r="G470" s="423">
        <v>2</v>
      </c>
      <c r="H470" s="424"/>
      <c r="I470" s="107">
        <f>E470*F470*G470</f>
        <v>75.900000000000006</v>
      </c>
      <c r="J470" s="108"/>
    </row>
    <row r="471" spans="1:10" x14ac:dyDescent="0.3">
      <c r="A471" s="422" t="s">
        <v>298</v>
      </c>
      <c r="B471" s="422"/>
      <c r="C471" s="106" t="s">
        <v>595</v>
      </c>
      <c r="D471" s="106"/>
      <c r="E471" s="106">
        <v>10.5</v>
      </c>
      <c r="F471" s="106">
        <v>3</v>
      </c>
      <c r="G471" s="423">
        <v>2</v>
      </c>
      <c r="H471" s="424"/>
      <c r="I471" s="107">
        <f t="shared" ref="I471:I483" si="45">E471*F471*G471</f>
        <v>63</v>
      </c>
      <c r="J471" s="108"/>
    </row>
    <row r="472" spans="1:10" x14ac:dyDescent="0.3">
      <c r="A472" s="422" t="s">
        <v>298</v>
      </c>
      <c r="B472" s="422"/>
      <c r="C472" s="106" t="s">
        <v>596</v>
      </c>
      <c r="D472" s="106"/>
      <c r="E472" s="106">
        <v>10.5</v>
      </c>
      <c r="F472" s="106">
        <v>3</v>
      </c>
      <c r="G472" s="423">
        <v>2</v>
      </c>
      <c r="H472" s="424"/>
      <c r="I472" s="107">
        <f t="shared" si="45"/>
        <v>63</v>
      </c>
      <c r="J472" s="108"/>
    </row>
    <row r="473" spans="1:10" x14ac:dyDescent="0.3">
      <c r="A473" s="422" t="s">
        <v>298</v>
      </c>
      <c r="B473" s="422"/>
      <c r="C473" s="106" t="s">
        <v>597</v>
      </c>
      <c r="D473" s="106"/>
      <c r="E473" s="106">
        <v>12.65</v>
      </c>
      <c r="F473" s="106">
        <v>3</v>
      </c>
      <c r="G473" s="423">
        <v>2</v>
      </c>
      <c r="H473" s="424"/>
      <c r="I473" s="107">
        <f t="shared" si="45"/>
        <v>75.900000000000006</v>
      </c>
      <c r="J473" s="108"/>
    </row>
    <row r="474" spans="1:10" x14ac:dyDescent="0.3">
      <c r="A474" s="422" t="s">
        <v>298</v>
      </c>
      <c r="B474" s="422"/>
      <c r="C474" s="106" t="s">
        <v>598</v>
      </c>
      <c r="D474" s="106"/>
      <c r="E474" s="106">
        <v>11.98</v>
      </c>
      <c r="F474" s="106">
        <v>3</v>
      </c>
      <c r="G474" s="423">
        <v>2</v>
      </c>
      <c r="H474" s="424"/>
      <c r="I474" s="107">
        <f t="shared" si="45"/>
        <v>71.88</v>
      </c>
      <c r="J474" s="108"/>
    </row>
    <row r="475" spans="1:10" x14ac:dyDescent="0.3">
      <c r="A475" s="422" t="s">
        <v>298</v>
      </c>
      <c r="B475" s="422"/>
      <c r="C475" s="106" t="s">
        <v>599</v>
      </c>
      <c r="D475" s="106"/>
      <c r="E475" s="106">
        <v>11.98</v>
      </c>
      <c r="F475" s="106">
        <v>3</v>
      </c>
      <c r="G475" s="423">
        <v>2</v>
      </c>
      <c r="H475" s="424"/>
      <c r="I475" s="107">
        <f t="shared" si="45"/>
        <v>71.88</v>
      </c>
      <c r="J475" s="108"/>
    </row>
    <row r="476" spans="1:10" x14ac:dyDescent="0.3">
      <c r="A476" s="422" t="s">
        <v>298</v>
      </c>
      <c r="B476" s="422"/>
      <c r="C476" s="106" t="s">
        <v>600</v>
      </c>
      <c r="D476" s="106"/>
      <c r="E476" s="106">
        <v>11.98</v>
      </c>
      <c r="F476" s="106">
        <v>3</v>
      </c>
      <c r="G476" s="423">
        <v>2</v>
      </c>
      <c r="H476" s="424"/>
      <c r="I476" s="107">
        <f t="shared" si="45"/>
        <v>71.88</v>
      </c>
      <c r="J476" s="108"/>
    </row>
    <row r="477" spans="1:10" x14ac:dyDescent="0.3">
      <c r="A477" s="422" t="s">
        <v>298</v>
      </c>
      <c r="B477" s="422"/>
      <c r="C477" s="106" t="s">
        <v>601</v>
      </c>
      <c r="D477" s="106"/>
      <c r="E477" s="106">
        <v>6.8</v>
      </c>
      <c r="F477" s="106">
        <v>3</v>
      </c>
      <c r="G477" s="423">
        <v>2</v>
      </c>
      <c r="H477" s="424"/>
      <c r="I477" s="107">
        <f t="shared" si="45"/>
        <v>40.799999999999997</v>
      </c>
      <c r="J477" s="108"/>
    </row>
    <row r="478" spans="1:10" x14ac:dyDescent="0.3">
      <c r="A478" s="422" t="s">
        <v>298</v>
      </c>
      <c r="B478" s="422"/>
      <c r="C478" s="106" t="s">
        <v>602</v>
      </c>
      <c r="D478" s="106"/>
      <c r="E478" s="106">
        <v>2.2999999999999998</v>
      </c>
      <c r="F478" s="106">
        <v>3</v>
      </c>
      <c r="G478" s="423">
        <v>2</v>
      </c>
      <c r="H478" s="424"/>
      <c r="I478" s="107">
        <f t="shared" si="45"/>
        <v>13.799999999999999</v>
      </c>
      <c r="J478" s="108"/>
    </row>
    <row r="479" spans="1:10" x14ac:dyDescent="0.3">
      <c r="A479" s="422" t="s">
        <v>298</v>
      </c>
      <c r="B479" s="422"/>
      <c r="C479" s="106" t="s">
        <v>603</v>
      </c>
      <c r="D479" s="106"/>
      <c r="E479" s="106">
        <v>2.2999999999999998</v>
      </c>
      <c r="F479" s="106">
        <v>3</v>
      </c>
      <c r="G479" s="423">
        <v>2</v>
      </c>
      <c r="H479" s="424"/>
      <c r="I479" s="107">
        <f t="shared" si="45"/>
        <v>13.799999999999999</v>
      </c>
      <c r="J479" s="108"/>
    </row>
    <row r="480" spans="1:10" x14ac:dyDescent="0.3">
      <c r="A480" s="422" t="s">
        <v>298</v>
      </c>
      <c r="B480" s="422"/>
      <c r="C480" s="106" t="s">
        <v>604</v>
      </c>
      <c r="D480" s="106"/>
      <c r="E480" s="106">
        <v>6</v>
      </c>
      <c r="F480" s="106">
        <v>3</v>
      </c>
      <c r="G480" s="423">
        <v>2</v>
      </c>
      <c r="H480" s="424"/>
      <c r="I480" s="107">
        <f t="shared" si="45"/>
        <v>36</v>
      </c>
      <c r="J480" s="108"/>
    </row>
    <row r="481" spans="1:10" x14ac:dyDescent="0.3">
      <c r="A481" s="422" t="s">
        <v>298</v>
      </c>
      <c r="B481" s="422"/>
      <c r="C481" s="106" t="s">
        <v>605</v>
      </c>
      <c r="D481" s="106"/>
      <c r="E481" s="106">
        <v>2.2999999999999998</v>
      </c>
      <c r="F481" s="106">
        <v>3</v>
      </c>
      <c r="G481" s="423">
        <v>2</v>
      </c>
      <c r="H481" s="424"/>
      <c r="I481" s="107">
        <f t="shared" si="45"/>
        <v>13.799999999999999</v>
      </c>
      <c r="J481" s="108"/>
    </row>
    <row r="482" spans="1:10" x14ac:dyDescent="0.3">
      <c r="A482" s="422" t="s">
        <v>298</v>
      </c>
      <c r="B482" s="422"/>
      <c r="C482" s="106" t="s">
        <v>606</v>
      </c>
      <c r="D482" s="106"/>
      <c r="E482" s="106">
        <v>2.2999999999999998</v>
      </c>
      <c r="F482" s="106">
        <v>3</v>
      </c>
      <c r="G482" s="423">
        <v>2</v>
      </c>
      <c r="H482" s="424"/>
      <c r="I482" s="107">
        <f t="shared" si="45"/>
        <v>13.799999999999999</v>
      </c>
      <c r="J482" s="108"/>
    </row>
    <row r="483" spans="1:10" x14ac:dyDescent="0.3">
      <c r="A483" s="422" t="s">
        <v>298</v>
      </c>
      <c r="B483" s="422"/>
      <c r="C483" s="106" t="s">
        <v>607</v>
      </c>
      <c r="D483" s="106"/>
      <c r="E483" s="106">
        <v>2.2999999999999998</v>
      </c>
      <c r="F483" s="106">
        <v>3</v>
      </c>
      <c r="G483" s="423">
        <v>2</v>
      </c>
      <c r="H483" s="424"/>
      <c r="I483" s="107">
        <f t="shared" si="45"/>
        <v>13.799999999999999</v>
      </c>
      <c r="J483" s="108"/>
    </row>
    <row r="484" spans="1:10" x14ac:dyDescent="0.3">
      <c r="A484" s="422" t="s">
        <v>608</v>
      </c>
      <c r="B484" s="422"/>
      <c r="C484" s="106" t="s">
        <v>481</v>
      </c>
      <c r="D484" s="106"/>
      <c r="E484" s="106">
        <v>2</v>
      </c>
      <c r="F484" s="106">
        <v>1.9</v>
      </c>
      <c r="G484" s="423">
        <v>-8</v>
      </c>
      <c r="H484" s="424"/>
      <c r="I484" s="107">
        <f t="shared" ref="I484:I486" si="46">E484*G484*F484</f>
        <v>-30.4</v>
      </c>
      <c r="J484" s="108"/>
    </row>
    <row r="485" spans="1:10" x14ac:dyDescent="0.3">
      <c r="A485" s="422" t="s">
        <v>608</v>
      </c>
      <c r="B485" s="422"/>
      <c r="C485" s="106" t="s">
        <v>482</v>
      </c>
      <c r="D485" s="106"/>
      <c r="E485" s="106">
        <v>1</v>
      </c>
      <c r="F485" s="106">
        <v>0.6</v>
      </c>
      <c r="G485" s="423">
        <v>-8</v>
      </c>
      <c r="H485" s="424"/>
      <c r="I485" s="107">
        <f t="shared" si="46"/>
        <v>-4.8</v>
      </c>
      <c r="J485" s="108"/>
    </row>
    <row r="486" spans="1:10" x14ac:dyDescent="0.3">
      <c r="A486" s="422" t="s">
        <v>300</v>
      </c>
      <c r="B486" s="422"/>
      <c r="C486" s="106" t="s">
        <v>609</v>
      </c>
      <c r="D486" s="106"/>
      <c r="E486" s="106">
        <v>1</v>
      </c>
      <c r="F486" s="106">
        <v>2.1</v>
      </c>
      <c r="G486" s="423">
        <v>-8</v>
      </c>
      <c r="H486" s="424"/>
      <c r="I486" s="107">
        <f t="shared" si="46"/>
        <v>-16.8</v>
      </c>
      <c r="J486" s="108"/>
    </row>
    <row r="487" spans="1:10" x14ac:dyDescent="0.3">
      <c r="A487" s="422" t="s">
        <v>476</v>
      </c>
      <c r="B487" s="422"/>
      <c r="C487" s="106" t="s">
        <v>611</v>
      </c>
      <c r="D487" s="106"/>
      <c r="E487" s="106">
        <f>(11.98/2)</f>
        <v>5.99</v>
      </c>
      <c r="F487" s="106">
        <v>1.4</v>
      </c>
      <c r="G487" s="423">
        <v>4</v>
      </c>
      <c r="H487" s="424"/>
      <c r="I487" s="107">
        <f>E487*G487*F487/2</f>
        <v>16.771999999999998</v>
      </c>
      <c r="J487" s="108"/>
    </row>
    <row r="488" spans="1:10" x14ac:dyDescent="0.3">
      <c r="A488" s="422" t="s">
        <v>476</v>
      </c>
      <c r="B488" s="422"/>
      <c r="C488" s="106" t="s">
        <v>611</v>
      </c>
      <c r="D488" s="106"/>
      <c r="E488" s="106">
        <f>(11.98/2)</f>
        <v>5.99</v>
      </c>
      <c r="F488" s="106">
        <v>1.4</v>
      </c>
      <c r="G488" s="423">
        <v>4</v>
      </c>
      <c r="H488" s="424"/>
      <c r="I488" s="107">
        <f>E488*G488*F488/2</f>
        <v>16.771999999999998</v>
      </c>
      <c r="J488" s="108"/>
    </row>
    <row r="489" spans="1:10" x14ac:dyDescent="0.3">
      <c r="A489" s="425" t="s">
        <v>1</v>
      </c>
      <c r="B489" s="426"/>
      <c r="C489" s="426"/>
      <c r="D489" s="426"/>
      <c r="E489" s="426"/>
      <c r="F489" s="426"/>
      <c r="G489" s="426"/>
      <c r="H489" s="427"/>
      <c r="I489" s="109">
        <f>SUM(I470:I488)</f>
        <v>620.78399999999999</v>
      </c>
    </row>
    <row r="490" spans="1:10" x14ac:dyDescent="0.3">
      <c r="A490" s="110"/>
      <c r="B490" s="110"/>
      <c r="C490" s="110"/>
      <c r="D490" s="110"/>
      <c r="E490" s="110"/>
      <c r="F490" s="110"/>
      <c r="G490" s="110"/>
      <c r="H490" s="110"/>
      <c r="I490" s="111"/>
    </row>
    <row r="491" spans="1:10" ht="14.4" customHeight="1" x14ac:dyDescent="0.3">
      <c r="A491" s="428" t="s">
        <v>12</v>
      </c>
      <c r="B491" s="428"/>
      <c r="C491" s="429" t="str">
        <f>VLOOKUP(A492,PRESUPUESTO!$A$14:$G$83,2,)</f>
        <v xml:space="preserve">aplicación de estuco plastico </v>
      </c>
      <c r="D491" s="430"/>
      <c r="E491" s="430"/>
      <c r="F491" s="430"/>
      <c r="G491" s="430"/>
      <c r="H491" s="431"/>
      <c r="I491" s="104" t="s">
        <v>14</v>
      </c>
    </row>
    <row r="492" spans="1:10" x14ac:dyDescent="0.3">
      <c r="A492" s="428">
        <v>6.5</v>
      </c>
      <c r="B492" s="428"/>
      <c r="C492" s="432"/>
      <c r="D492" s="433"/>
      <c r="E492" s="433"/>
      <c r="F492" s="433"/>
      <c r="G492" s="433"/>
      <c r="H492" s="434"/>
      <c r="I492" s="104" t="str">
        <f>VLOOKUP(A492,PRESUPUESTO!$A$14:$G$83,4,)</f>
        <v>M2</v>
      </c>
    </row>
    <row r="493" spans="1:10" ht="16.850000000000001" customHeight="1" x14ac:dyDescent="0.3">
      <c r="A493" s="428" t="s">
        <v>13</v>
      </c>
      <c r="B493" s="428"/>
      <c r="C493" s="428"/>
      <c r="D493" s="104" t="s">
        <v>72</v>
      </c>
      <c r="E493" s="104" t="s">
        <v>75</v>
      </c>
      <c r="F493" s="104" t="s">
        <v>76</v>
      </c>
      <c r="G493" s="435" t="s">
        <v>74</v>
      </c>
      <c r="H493" s="436"/>
      <c r="I493" s="104" t="s">
        <v>1</v>
      </c>
      <c r="J493" s="105"/>
    </row>
    <row r="494" spans="1:10" x14ac:dyDescent="0.3">
      <c r="A494" s="422" t="s">
        <v>298</v>
      </c>
      <c r="B494" s="422"/>
      <c r="C494" s="106" t="s">
        <v>594</v>
      </c>
      <c r="D494" s="106"/>
      <c r="E494" s="106">
        <v>12.65</v>
      </c>
      <c r="F494" s="106">
        <v>3</v>
      </c>
      <c r="G494" s="423">
        <v>2</v>
      </c>
      <c r="H494" s="424"/>
      <c r="I494" s="107">
        <f>E494*F494*G494</f>
        <v>75.900000000000006</v>
      </c>
      <c r="J494" s="108"/>
    </row>
    <row r="495" spans="1:10" x14ac:dyDescent="0.3">
      <c r="A495" s="422" t="s">
        <v>298</v>
      </c>
      <c r="B495" s="422"/>
      <c r="C495" s="106" t="s">
        <v>595</v>
      </c>
      <c r="D495" s="106"/>
      <c r="E495" s="106">
        <v>10.5</v>
      </c>
      <c r="F495" s="106">
        <v>3</v>
      </c>
      <c r="G495" s="423">
        <v>2</v>
      </c>
      <c r="H495" s="424"/>
      <c r="I495" s="107">
        <f t="shared" ref="I495:I507" si="47">E495*F495*G495</f>
        <v>63</v>
      </c>
      <c r="J495" s="108"/>
    </row>
    <row r="496" spans="1:10" x14ac:dyDescent="0.3">
      <c r="A496" s="422" t="s">
        <v>298</v>
      </c>
      <c r="B496" s="422"/>
      <c r="C496" s="106" t="s">
        <v>596</v>
      </c>
      <c r="D496" s="106"/>
      <c r="E496" s="106">
        <v>10.5</v>
      </c>
      <c r="F496" s="106">
        <v>3</v>
      </c>
      <c r="G496" s="423">
        <v>2</v>
      </c>
      <c r="H496" s="424"/>
      <c r="I496" s="107">
        <f t="shared" si="47"/>
        <v>63</v>
      </c>
      <c r="J496" s="108"/>
    </row>
    <row r="497" spans="1:10" x14ac:dyDescent="0.3">
      <c r="A497" s="422" t="s">
        <v>298</v>
      </c>
      <c r="B497" s="422"/>
      <c r="C497" s="106" t="s">
        <v>597</v>
      </c>
      <c r="D497" s="106"/>
      <c r="E497" s="106">
        <v>12.65</v>
      </c>
      <c r="F497" s="106">
        <v>3</v>
      </c>
      <c r="G497" s="423">
        <v>2</v>
      </c>
      <c r="H497" s="424"/>
      <c r="I497" s="107">
        <f t="shared" si="47"/>
        <v>75.900000000000006</v>
      </c>
      <c r="J497" s="108"/>
    </row>
    <row r="498" spans="1:10" x14ac:dyDescent="0.3">
      <c r="A498" s="422" t="s">
        <v>298</v>
      </c>
      <c r="B498" s="422"/>
      <c r="C498" s="106" t="s">
        <v>598</v>
      </c>
      <c r="D498" s="106"/>
      <c r="E498" s="106">
        <v>11.98</v>
      </c>
      <c r="F498" s="106">
        <v>3</v>
      </c>
      <c r="G498" s="423">
        <v>2</v>
      </c>
      <c r="H498" s="424"/>
      <c r="I498" s="107">
        <f t="shared" si="47"/>
        <v>71.88</v>
      </c>
      <c r="J498" s="108"/>
    </row>
    <row r="499" spans="1:10" x14ac:dyDescent="0.3">
      <c r="A499" s="422" t="s">
        <v>298</v>
      </c>
      <c r="B499" s="422"/>
      <c r="C499" s="106" t="s">
        <v>599</v>
      </c>
      <c r="D499" s="106"/>
      <c r="E499" s="106">
        <v>11.98</v>
      </c>
      <c r="F499" s="106">
        <v>3</v>
      </c>
      <c r="G499" s="423">
        <v>2</v>
      </c>
      <c r="H499" s="424"/>
      <c r="I499" s="107">
        <f t="shared" si="47"/>
        <v>71.88</v>
      </c>
      <c r="J499" s="108"/>
    </row>
    <row r="500" spans="1:10" x14ac:dyDescent="0.3">
      <c r="A500" s="422" t="s">
        <v>298</v>
      </c>
      <c r="B500" s="422"/>
      <c r="C500" s="106" t="s">
        <v>600</v>
      </c>
      <c r="D500" s="106"/>
      <c r="E500" s="106">
        <v>11.98</v>
      </c>
      <c r="F500" s="106">
        <v>3</v>
      </c>
      <c r="G500" s="423">
        <v>2</v>
      </c>
      <c r="H500" s="424"/>
      <c r="I500" s="107">
        <f t="shared" si="47"/>
        <v>71.88</v>
      </c>
      <c r="J500" s="108"/>
    </row>
    <row r="501" spans="1:10" x14ac:dyDescent="0.3">
      <c r="A501" s="422" t="s">
        <v>298</v>
      </c>
      <c r="B501" s="422"/>
      <c r="C501" s="106" t="s">
        <v>601</v>
      </c>
      <c r="D501" s="106"/>
      <c r="E501" s="106">
        <v>6.8</v>
      </c>
      <c r="F501" s="106">
        <v>3</v>
      </c>
      <c r="G501" s="423">
        <v>2</v>
      </c>
      <c r="H501" s="424"/>
      <c r="I501" s="107">
        <f t="shared" si="47"/>
        <v>40.799999999999997</v>
      </c>
      <c r="J501" s="108"/>
    </row>
    <row r="502" spans="1:10" x14ac:dyDescent="0.3">
      <c r="A502" s="422" t="s">
        <v>298</v>
      </c>
      <c r="B502" s="422"/>
      <c r="C502" s="106" t="s">
        <v>602</v>
      </c>
      <c r="D502" s="106"/>
      <c r="E502" s="106">
        <v>2.2999999999999998</v>
      </c>
      <c r="F502" s="106">
        <v>3</v>
      </c>
      <c r="G502" s="423">
        <v>2</v>
      </c>
      <c r="H502" s="424"/>
      <c r="I502" s="107">
        <f t="shared" si="47"/>
        <v>13.799999999999999</v>
      </c>
      <c r="J502" s="108"/>
    </row>
    <row r="503" spans="1:10" x14ac:dyDescent="0.3">
      <c r="A503" s="422" t="s">
        <v>298</v>
      </c>
      <c r="B503" s="422"/>
      <c r="C503" s="106" t="s">
        <v>603</v>
      </c>
      <c r="D503" s="106"/>
      <c r="E503" s="106">
        <v>2.2999999999999998</v>
      </c>
      <c r="F503" s="106">
        <v>3</v>
      </c>
      <c r="G503" s="423">
        <v>2</v>
      </c>
      <c r="H503" s="424"/>
      <c r="I503" s="107">
        <f t="shared" si="47"/>
        <v>13.799999999999999</v>
      </c>
      <c r="J503" s="108"/>
    </row>
    <row r="504" spans="1:10" x14ac:dyDescent="0.3">
      <c r="A504" s="422" t="s">
        <v>298</v>
      </c>
      <c r="B504" s="422"/>
      <c r="C504" s="106" t="s">
        <v>604</v>
      </c>
      <c r="D504" s="106"/>
      <c r="E504" s="106">
        <v>6</v>
      </c>
      <c r="F504" s="106">
        <v>3</v>
      </c>
      <c r="G504" s="423">
        <v>2</v>
      </c>
      <c r="H504" s="424"/>
      <c r="I504" s="107">
        <f t="shared" si="47"/>
        <v>36</v>
      </c>
      <c r="J504" s="108"/>
    </row>
    <row r="505" spans="1:10" x14ac:dyDescent="0.3">
      <c r="A505" s="422" t="s">
        <v>298</v>
      </c>
      <c r="B505" s="422"/>
      <c r="C505" s="106" t="s">
        <v>605</v>
      </c>
      <c r="D505" s="106"/>
      <c r="E505" s="106">
        <v>2.2999999999999998</v>
      </c>
      <c r="F505" s="106">
        <v>3</v>
      </c>
      <c r="G505" s="423">
        <v>2</v>
      </c>
      <c r="H505" s="424"/>
      <c r="I505" s="107">
        <f t="shared" si="47"/>
        <v>13.799999999999999</v>
      </c>
      <c r="J505" s="108"/>
    </row>
    <row r="506" spans="1:10" x14ac:dyDescent="0.3">
      <c r="A506" s="422" t="s">
        <v>298</v>
      </c>
      <c r="B506" s="422"/>
      <c r="C506" s="106" t="s">
        <v>606</v>
      </c>
      <c r="D506" s="106"/>
      <c r="E506" s="106">
        <v>2.2999999999999998</v>
      </c>
      <c r="F506" s="106">
        <v>3</v>
      </c>
      <c r="G506" s="423">
        <v>2</v>
      </c>
      <c r="H506" s="424"/>
      <c r="I506" s="107">
        <f t="shared" si="47"/>
        <v>13.799999999999999</v>
      </c>
      <c r="J506" s="108"/>
    </row>
    <row r="507" spans="1:10" x14ac:dyDescent="0.3">
      <c r="A507" s="422" t="s">
        <v>298</v>
      </c>
      <c r="B507" s="422"/>
      <c r="C507" s="106" t="s">
        <v>607</v>
      </c>
      <c r="D507" s="106"/>
      <c r="E507" s="106">
        <v>2.2999999999999998</v>
      </c>
      <c r="F507" s="106">
        <v>3</v>
      </c>
      <c r="G507" s="423">
        <v>2</v>
      </c>
      <c r="H507" s="424"/>
      <c r="I507" s="107">
        <f t="shared" si="47"/>
        <v>13.799999999999999</v>
      </c>
      <c r="J507" s="108"/>
    </row>
    <row r="508" spans="1:10" x14ac:dyDescent="0.3">
      <c r="A508" s="422" t="s">
        <v>608</v>
      </c>
      <c r="B508" s="422"/>
      <c r="C508" s="106" t="s">
        <v>481</v>
      </c>
      <c r="D508" s="106"/>
      <c r="E508" s="106">
        <v>2</v>
      </c>
      <c r="F508" s="106">
        <v>1.9</v>
      </c>
      <c r="G508" s="423">
        <v>-8</v>
      </c>
      <c r="H508" s="424"/>
      <c r="I508" s="107">
        <f t="shared" ref="I508:I510" si="48">E508*G508*F508</f>
        <v>-30.4</v>
      </c>
      <c r="J508" s="108"/>
    </row>
    <row r="509" spans="1:10" x14ac:dyDescent="0.3">
      <c r="A509" s="422" t="s">
        <v>608</v>
      </c>
      <c r="B509" s="422"/>
      <c r="C509" s="106" t="s">
        <v>482</v>
      </c>
      <c r="D509" s="106"/>
      <c r="E509" s="106">
        <v>1</v>
      </c>
      <c r="F509" s="106">
        <v>0.6</v>
      </c>
      <c r="G509" s="423">
        <v>-8</v>
      </c>
      <c r="H509" s="424"/>
      <c r="I509" s="107">
        <f t="shared" si="48"/>
        <v>-4.8</v>
      </c>
      <c r="J509" s="108"/>
    </row>
    <row r="510" spans="1:10" x14ac:dyDescent="0.3">
      <c r="A510" s="422" t="s">
        <v>300</v>
      </c>
      <c r="B510" s="422"/>
      <c r="C510" s="106" t="s">
        <v>609</v>
      </c>
      <c r="D510" s="106"/>
      <c r="E510" s="106">
        <v>1</v>
      </c>
      <c r="F510" s="106">
        <v>2.1</v>
      </c>
      <c r="G510" s="423">
        <v>-8</v>
      </c>
      <c r="H510" s="424"/>
      <c r="I510" s="107">
        <f t="shared" si="48"/>
        <v>-16.8</v>
      </c>
      <c r="J510" s="108"/>
    </row>
    <row r="511" spans="1:10" x14ac:dyDescent="0.3">
      <c r="A511" s="422" t="s">
        <v>476</v>
      </c>
      <c r="B511" s="422"/>
      <c r="C511" s="106" t="s">
        <v>611</v>
      </c>
      <c r="D511" s="106"/>
      <c r="E511" s="106">
        <f>(11.98/2)</f>
        <v>5.99</v>
      </c>
      <c r="F511" s="106">
        <v>1.4</v>
      </c>
      <c r="G511" s="423">
        <v>4</v>
      </c>
      <c r="H511" s="424"/>
      <c r="I511" s="107">
        <f>E511*G511*F511/2</f>
        <v>16.771999999999998</v>
      </c>
      <c r="J511" s="108"/>
    </row>
    <row r="512" spans="1:10" x14ac:dyDescent="0.3">
      <c r="A512" s="422" t="s">
        <v>476</v>
      </c>
      <c r="B512" s="422"/>
      <c r="C512" s="106" t="s">
        <v>611</v>
      </c>
      <c r="D512" s="106"/>
      <c r="E512" s="106">
        <f>(11.98/2)</f>
        <v>5.99</v>
      </c>
      <c r="F512" s="106">
        <v>1.4</v>
      </c>
      <c r="G512" s="423">
        <v>4</v>
      </c>
      <c r="H512" s="424"/>
      <c r="I512" s="107">
        <f>E512*G512*F512/2</f>
        <v>16.771999999999998</v>
      </c>
      <c r="J512" s="108"/>
    </row>
    <row r="513" spans="1:10" x14ac:dyDescent="0.3">
      <c r="A513" s="425" t="s">
        <v>1</v>
      </c>
      <c r="B513" s="426"/>
      <c r="C513" s="426"/>
      <c r="D513" s="426"/>
      <c r="E513" s="426"/>
      <c r="F513" s="426"/>
      <c r="G513" s="426"/>
      <c r="H513" s="427"/>
      <c r="I513" s="109">
        <f>SUM(I494:I512)</f>
        <v>620.78399999999999</v>
      </c>
    </row>
    <row r="514" spans="1:10" x14ac:dyDescent="0.3">
      <c r="A514" s="110"/>
      <c r="B514" s="110"/>
      <c r="C514" s="110"/>
      <c r="D514" s="110"/>
      <c r="E514" s="110"/>
      <c r="F514" s="110"/>
      <c r="G514" s="110"/>
      <c r="H514" s="110"/>
      <c r="I514" s="111"/>
    </row>
    <row r="515" spans="1:10" ht="14.4" customHeight="1" x14ac:dyDescent="0.3">
      <c r="A515" s="428" t="s">
        <v>12</v>
      </c>
      <c r="B515" s="428"/>
      <c r="C515" s="429" t="str">
        <f>VLOOKUP(A516,PRESUPUESTO!$A$14:$G$83,2,)</f>
        <v xml:space="preserve">aplicación de pintura en acabado de muros </v>
      </c>
      <c r="D515" s="430"/>
      <c r="E515" s="430"/>
      <c r="F515" s="430"/>
      <c r="G515" s="430"/>
      <c r="H515" s="431"/>
      <c r="I515" s="104" t="s">
        <v>14</v>
      </c>
    </row>
    <row r="516" spans="1:10" x14ac:dyDescent="0.3">
      <c r="A516" s="428">
        <v>6.6</v>
      </c>
      <c r="B516" s="428"/>
      <c r="C516" s="432"/>
      <c r="D516" s="433"/>
      <c r="E516" s="433"/>
      <c r="F516" s="433"/>
      <c r="G516" s="433"/>
      <c r="H516" s="434"/>
      <c r="I516" s="104" t="str">
        <f>VLOOKUP(A516,PRESUPUESTO!$A$14:$G$83,4,)</f>
        <v>M2</v>
      </c>
    </row>
    <row r="517" spans="1:10" ht="16.850000000000001" customHeight="1" x14ac:dyDescent="0.3">
      <c r="A517" s="428" t="s">
        <v>13</v>
      </c>
      <c r="B517" s="428"/>
      <c r="C517" s="428"/>
      <c r="D517" s="104" t="s">
        <v>72</v>
      </c>
      <c r="E517" s="104" t="s">
        <v>75</v>
      </c>
      <c r="F517" s="104" t="s">
        <v>76</v>
      </c>
      <c r="G517" s="435" t="s">
        <v>74</v>
      </c>
      <c r="H517" s="436"/>
      <c r="I517" s="104" t="s">
        <v>1</v>
      </c>
      <c r="J517" s="105"/>
    </row>
    <row r="518" spans="1:10" x14ac:dyDescent="0.3">
      <c r="A518" s="422" t="s">
        <v>298</v>
      </c>
      <c r="B518" s="422"/>
      <c r="C518" s="106" t="s">
        <v>594</v>
      </c>
      <c r="D518" s="106"/>
      <c r="E518" s="106">
        <v>12.65</v>
      </c>
      <c r="F518" s="106">
        <v>3</v>
      </c>
      <c r="G518" s="423">
        <v>2</v>
      </c>
      <c r="H518" s="424"/>
      <c r="I518" s="107">
        <f>E518*F518*G518</f>
        <v>75.900000000000006</v>
      </c>
      <c r="J518" s="108"/>
    </row>
    <row r="519" spans="1:10" x14ac:dyDescent="0.3">
      <c r="A519" s="422" t="s">
        <v>298</v>
      </c>
      <c r="B519" s="422"/>
      <c r="C519" s="106" t="s">
        <v>595</v>
      </c>
      <c r="D519" s="106"/>
      <c r="E519" s="106">
        <v>10.5</v>
      </c>
      <c r="F519" s="106">
        <v>3</v>
      </c>
      <c r="G519" s="423">
        <v>2</v>
      </c>
      <c r="H519" s="424"/>
      <c r="I519" s="107">
        <f t="shared" ref="I519:I531" si="49">E519*F519*G519</f>
        <v>63</v>
      </c>
      <c r="J519" s="108"/>
    </row>
    <row r="520" spans="1:10" x14ac:dyDescent="0.3">
      <c r="A520" s="422" t="s">
        <v>298</v>
      </c>
      <c r="B520" s="422"/>
      <c r="C520" s="106" t="s">
        <v>596</v>
      </c>
      <c r="D520" s="106"/>
      <c r="E520" s="106">
        <v>10.5</v>
      </c>
      <c r="F520" s="106">
        <v>3</v>
      </c>
      <c r="G520" s="423">
        <v>2</v>
      </c>
      <c r="H520" s="424"/>
      <c r="I520" s="107">
        <f t="shared" si="49"/>
        <v>63</v>
      </c>
      <c r="J520" s="108"/>
    </row>
    <row r="521" spans="1:10" x14ac:dyDescent="0.3">
      <c r="A521" s="422" t="s">
        <v>298</v>
      </c>
      <c r="B521" s="422"/>
      <c r="C521" s="106" t="s">
        <v>597</v>
      </c>
      <c r="D521" s="106"/>
      <c r="E521" s="106">
        <v>12.65</v>
      </c>
      <c r="F521" s="106">
        <v>3</v>
      </c>
      <c r="G521" s="423">
        <v>2</v>
      </c>
      <c r="H521" s="424"/>
      <c r="I521" s="107">
        <f t="shared" si="49"/>
        <v>75.900000000000006</v>
      </c>
      <c r="J521" s="108"/>
    </row>
    <row r="522" spans="1:10" x14ac:dyDescent="0.3">
      <c r="A522" s="422" t="s">
        <v>298</v>
      </c>
      <c r="B522" s="422"/>
      <c r="C522" s="106" t="s">
        <v>598</v>
      </c>
      <c r="D522" s="106"/>
      <c r="E522" s="106">
        <v>11.98</v>
      </c>
      <c r="F522" s="106">
        <v>3</v>
      </c>
      <c r="G522" s="423">
        <v>2</v>
      </c>
      <c r="H522" s="424"/>
      <c r="I522" s="107">
        <f t="shared" si="49"/>
        <v>71.88</v>
      </c>
      <c r="J522" s="108"/>
    </row>
    <row r="523" spans="1:10" x14ac:dyDescent="0.3">
      <c r="A523" s="422" t="s">
        <v>298</v>
      </c>
      <c r="B523" s="422"/>
      <c r="C523" s="106" t="s">
        <v>599</v>
      </c>
      <c r="D523" s="106"/>
      <c r="E523" s="106">
        <v>11.98</v>
      </c>
      <c r="F523" s="106">
        <v>3</v>
      </c>
      <c r="G523" s="423">
        <v>2</v>
      </c>
      <c r="H523" s="424"/>
      <c r="I523" s="107">
        <f t="shared" si="49"/>
        <v>71.88</v>
      </c>
      <c r="J523" s="108"/>
    </row>
    <row r="524" spans="1:10" x14ac:dyDescent="0.3">
      <c r="A524" s="422" t="s">
        <v>298</v>
      </c>
      <c r="B524" s="422"/>
      <c r="C524" s="106" t="s">
        <v>600</v>
      </c>
      <c r="D524" s="106"/>
      <c r="E524" s="106">
        <v>11.98</v>
      </c>
      <c r="F524" s="106">
        <v>3</v>
      </c>
      <c r="G524" s="423">
        <v>2</v>
      </c>
      <c r="H524" s="424"/>
      <c r="I524" s="107">
        <f t="shared" si="49"/>
        <v>71.88</v>
      </c>
      <c r="J524" s="108"/>
    </row>
    <row r="525" spans="1:10" x14ac:dyDescent="0.3">
      <c r="A525" s="422" t="s">
        <v>298</v>
      </c>
      <c r="B525" s="422"/>
      <c r="C525" s="106" t="s">
        <v>601</v>
      </c>
      <c r="D525" s="106"/>
      <c r="E525" s="106">
        <v>6.8</v>
      </c>
      <c r="F525" s="106">
        <v>3</v>
      </c>
      <c r="G525" s="423">
        <v>2</v>
      </c>
      <c r="H525" s="424"/>
      <c r="I525" s="107">
        <f t="shared" si="49"/>
        <v>40.799999999999997</v>
      </c>
      <c r="J525" s="108"/>
    </row>
    <row r="526" spans="1:10" x14ac:dyDescent="0.3">
      <c r="A526" s="422" t="s">
        <v>298</v>
      </c>
      <c r="B526" s="422"/>
      <c r="C526" s="106" t="s">
        <v>602</v>
      </c>
      <c r="D526" s="106"/>
      <c r="E526" s="106">
        <v>2.2999999999999998</v>
      </c>
      <c r="F526" s="106">
        <v>3</v>
      </c>
      <c r="G526" s="423">
        <v>2</v>
      </c>
      <c r="H526" s="424"/>
      <c r="I526" s="107">
        <f t="shared" si="49"/>
        <v>13.799999999999999</v>
      </c>
      <c r="J526" s="108"/>
    </row>
    <row r="527" spans="1:10" x14ac:dyDescent="0.3">
      <c r="A527" s="422" t="s">
        <v>298</v>
      </c>
      <c r="B527" s="422"/>
      <c r="C527" s="106" t="s">
        <v>603</v>
      </c>
      <c r="D527" s="106"/>
      <c r="E527" s="106">
        <v>2.2999999999999998</v>
      </c>
      <c r="F527" s="106">
        <v>3</v>
      </c>
      <c r="G527" s="423">
        <v>2</v>
      </c>
      <c r="H527" s="424"/>
      <c r="I527" s="107">
        <f t="shared" si="49"/>
        <v>13.799999999999999</v>
      </c>
      <c r="J527" s="108"/>
    </row>
    <row r="528" spans="1:10" x14ac:dyDescent="0.3">
      <c r="A528" s="422" t="s">
        <v>298</v>
      </c>
      <c r="B528" s="422"/>
      <c r="C528" s="106" t="s">
        <v>604</v>
      </c>
      <c r="D528" s="106"/>
      <c r="E528" s="106">
        <v>6</v>
      </c>
      <c r="F528" s="106">
        <v>3</v>
      </c>
      <c r="G528" s="423">
        <v>2</v>
      </c>
      <c r="H528" s="424"/>
      <c r="I528" s="107">
        <f t="shared" si="49"/>
        <v>36</v>
      </c>
      <c r="J528" s="108"/>
    </row>
    <row r="529" spans="1:10" x14ac:dyDescent="0.3">
      <c r="A529" s="422" t="s">
        <v>298</v>
      </c>
      <c r="B529" s="422"/>
      <c r="C529" s="106" t="s">
        <v>605</v>
      </c>
      <c r="D529" s="106"/>
      <c r="E529" s="106">
        <v>2.2999999999999998</v>
      </c>
      <c r="F529" s="106">
        <v>3</v>
      </c>
      <c r="G529" s="423">
        <v>2</v>
      </c>
      <c r="H529" s="424"/>
      <c r="I529" s="107">
        <f t="shared" si="49"/>
        <v>13.799999999999999</v>
      </c>
      <c r="J529" s="108"/>
    </row>
    <row r="530" spans="1:10" x14ac:dyDescent="0.3">
      <c r="A530" s="422" t="s">
        <v>298</v>
      </c>
      <c r="B530" s="422"/>
      <c r="C530" s="106" t="s">
        <v>606</v>
      </c>
      <c r="D530" s="106"/>
      <c r="E530" s="106">
        <v>2.2999999999999998</v>
      </c>
      <c r="F530" s="106">
        <v>3</v>
      </c>
      <c r="G530" s="423">
        <v>2</v>
      </c>
      <c r="H530" s="424"/>
      <c r="I530" s="107">
        <f t="shared" si="49"/>
        <v>13.799999999999999</v>
      </c>
      <c r="J530" s="108"/>
    </row>
    <row r="531" spans="1:10" x14ac:dyDescent="0.3">
      <c r="A531" s="422" t="s">
        <v>298</v>
      </c>
      <c r="B531" s="422"/>
      <c r="C531" s="106" t="s">
        <v>607</v>
      </c>
      <c r="D531" s="106"/>
      <c r="E531" s="106">
        <v>2.2999999999999998</v>
      </c>
      <c r="F531" s="106">
        <v>3</v>
      </c>
      <c r="G531" s="423">
        <v>2</v>
      </c>
      <c r="H531" s="424"/>
      <c r="I531" s="107">
        <f t="shared" si="49"/>
        <v>13.799999999999999</v>
      </c>
      <c r="J531" s="108"/>
    </row>
    <row r="532" spans="1:10" x14ac:dyDescent="0.3">
      <c r="A532" s="422" t="s">
        <v>608</v>
      </c>
      <c r="B532" s="422"/>
      <c r="C532" s="106" t="s">
        <v>481</v>
      </c>
      <c r="D532" s="106"/>
      <c r="E532" s="106">
        <v>2</v>
      </c>
      <c r="F532" s="106">
        <v>1.9</v>
      </c>
      <c r="G532" s="423">
        <v>-8</v>
      </c>
      <c r="H532" s="424"/>
      <c r="I532" s="107">
        <f t="shared" ref="I532:I534" si="50">E532*G532*F532</f>
        <v>-30.4</v>
      </c>
      <c r="J532" s="108"/>
    </row>
    <row r="533" spans="1:10" x14ac:dyDescent="0.3">
      <c r="A533" s="422" t="s">
        <v>608</v>
      </c>
      <c r="B533" s="422"/>
      <c r="C533" s="106" t="s">
        <v>482</v>
      </c>
      <c r="D533" s="106"/>
      <c r="E533" s="106">
        <v>1</v>
      </c>
      <c r="F533" s="106">
        <v>0.6</v>
      </c>
      <c r="G533" s="423">
        <v>-8</v>
      </c>
      <c r="H533" s="424"/>
      <c r="I533" s="107">
        <f t="shared" si="50"/>
        <v>-4.8</v>
      </c>
      <c r="J533" s="108"/>
    </row>
    <row r="534" spans="1:10" x14ac:dyDescent="0.3">
      <c r="A534" s="422" t="s">
        <v>300</v>
      </c>
      <c r="B534" s="422"/>
      <c r="C534" s="106" t="s">
        <v>609</v>
      </c>
      <c r="D534" s="106"/>
      <c r="E534" s="106">
        <v>1</v>
      </c>
      <c r="F534" s="106">
        <v>2.1</v>
      </c>
      <c r="G534" s="423">
        <v>-8</v>
      </c>
      <c r="H534" s="424"/>
      <c r="I534" s="107">
        <f t="shared" si="50"/>
        <v>-16.8</v>
      </c>
      <c r="J534" s="108"/>
    </row>
    <row r="535" spans="1:10" x14ac:dyDescent="0.3">
      <c r="A535" s="422" t="s">
        <v>476</v>
      </c>
      <c r="B535" s="422"/>
      <c r="C535" s="106" t="s">
        <v>611</v>
      </c>
      <c r="D535" s="106"/>
      <c r="E535" s="106">
        <f>(11.98/2)</f>
        <v>5.99</v>
      </c>
      <c r="F535" s="106">
        <v>1.4</v>
      </c>
      <c r="G535" s="423">
        <v>4</v>
      </c>
      <c r="H535" s="424"/>
      <c r="I535" s="107">
        <f>E535*G535*F535/2</f>
        <v>16.771999999999998</v>
      </c>
      <c r="J535" s="108"/>
    </row>
    <row r="536" spans="1:10" x14ac:dyDescent="0.3">
      <c r="A536" s="422" t="s">
        <v>476</v>
      </c>
      <c r="B536" s="422"/>
      <c r="C536" s="106" t="s">
        <v>611</v>
      </c>
      <c r="D536" s="106"/>
      <c r="E536" s="106">
        <f>(11.98/2)</f>
        <v>5.99</v>
      </c>
      <c r="F536" s="106">
        <v>1.4</v>
      </c>
      <c r="G536" s="423">
        <v>4</v>
      </c>
      <c r="H536" s="424"/>
      <c r="I536" s="107">
        <f>E536*G536*F536/2</f>
        <v>16.771999999999998</v>
      </c>
      <c r="J536" s="108"/>
    </row>
    <row r="537" spans="1:10" x14ac:dyDescent="0.3">
      <c r="A537" s="425" t="s">
        <v>1</v>
      </c>
      <c r="B537" s="426"/>
      <c r="C537" s="426"/>
      <c r="D537" s="426"/>
      <c r="E537" s="426"/>
      <c r="F537" s="426"/>
      <c r="G537" s="426"/>
      <c r="H537" s="427"/>
      <c r="I537" s="109">
        <f>SUM(I518:I536)</f>
        <v>620.78399999999999</v>
      </c>
    </row>
    <row r="538" spans="1:10" x14ac:dyDescent="0.3">
      <c r="A538" s="110"/>
      <c r="B538" s="110"/>
      <c r="C538" s="110"/>
      <c r="D538" s="110"/>
      <c r="E538" s="110"/>
      <c r="F538" s="110"/>
      <c r="G538" s="110"/>
      <c r="H538" s="110"/>
      <c r="I538" s="111"/>
    </row>
    <row r="539" spans="1:10" ht="14.4" customHeight="1" x14ac:dyDescent="0.3">
      <c r="A539" s="428" t="s">
        <v>12</v>
      </c>
      <c r="B539" s="428"/>
      <c r="C539" s="429" t="str">
        <f>VLOOKUP(A540,PRESUPUESTO!$A$14:$G$83,2,)</f>
        <v>Instalacion de ceramica antideslizante formato 35X35</v>
      </c>
      <c r="D539" s="430"/>
      <c r="E539" s="430"/>
      <c r="F539" s="430"/>
      <c r="G539" s="430"/>
      <c r="H539" s="431"/>
      <c r="I539" s="104" t="s">
        <v>14</v>
      </c>
    </row>
    <row r="540" spans="1:10" x14ac:dyDescent="0.3">
      <c r="A540" s="428">
        <v>6.7</v>
      </c>
      <c r="B540" s="428"/>
      <c r="C540" s="432"/>
      <c r="D540" s="433"/>
      <c r="E540" s="433"/>
      <c r="F540" s="433"/>
      <c r="G540" s="433"/>
      <c r="H540" s="434"/>
      <c r="I540" s="104" t="str">
        <f>VLOOKUP(A540,PRESUPUESTO!$A$14:$G$83,4,)</f>
        <v>M2</v>
      </c>
    </row>
    <row r="541" spans="1:10" ht="16.850000000000001" customHeight="1" x14ac:dyDescent="0.3">
      <c r="A541" s="428" t="s">
        <v>13</v>
      </c>
      <c r="B541" s="428"/>
      <c r="C541" s="428"/>
      <c r="D541" s="104" t="s">
        <v>72</v>
      </c>
      <c r="E541" s="104" t="s">
        <v>75</v>
      </c>
      <c r="F541" s="104" t="s">
        <v>76</v>
      </c>
      <c r="G541" s="435" t="s">
        <v>74</v>
      </c>
      <c r="H541" s="436"/>
      <c r="I541" s="104" t="s">
        <v>1</v>
      </c>
      <c r="J541" s="105"/>
    </row>
    <row r="542" spans="1:10" x14ac:dyDescent="0.3">
      <c r="A542" s="422" t="s">
        <v>328</v>
      </c>
      <c r="B542" s="422"/>
      <c r="C542" s="106" t="s">
        <v>612</v>
      </c>
      <c r="D542" s="106">
        <v>2</v>
      </c>
      <c r="E542" s="106">
        <v>2.2000000000000002</v>
      </c>
      <c r="F542" s="106"/>
      <c r="G542" s="423">
        <v>2</v>
      </c>
      <c r="H542" s="424"/>
      <c r="I542" s="107">
        <f t="shared" ref="I542:I549" si="51">D542*E542*G542</f>
        <v>8.8000000000000007</v>
      </c>
      <c r="J542" s="108"/>
    </row>
    <row r="543" spans="1:10" x14ac:dyDescent="0.3">
      <c r="A543" s="422" t="s">
        <v>328</v>
      </c>
      <c r="B543" s="422"/>
      <c r="C543" s="106" t="s">
        <v>613</v>
      </c>
      <c r="D543" s="106">
        <v>2</v>
      </c>
      <c r="E543" s="106">
        <v>2.7</v>
      </c>
      <c r="F543" s="106"/>
      <c r="G543" s="423">
        <v>2</v>
      </c>
      <c r="H543" s="424"/>
      <c r="I543" s="107">
        <f t="shared" si="51"/>
        <v>10.8</v>
      </c>
      <c r="J543" s="108"/>
    </row>
    <row r="544" spans="1:10" x14ac:dyDescent="0.3">
      <c r="A544" s="422" t="s">
        <v>328</v>
      </c>
      <c r="B544" s="422"/>
      <c r="C544" s="106" t="s">
        <v>614</v>
      </c>
      <c r="D544" s="106">
        <v>6.1</v>
      </c>
      <c r="E544" s="106">
        <v>2.44</v>
      </c>
      <c r="F544" s="106"/>
      <c r="G544" s="423">
        <v>2</v>
      </c>
      <c r="H544" s="424"/>
      <c r="I544" s="107">
        <f t="shared" si="51"/>
        <v>29.767999999999997</v>
      </c>
      <c r="J544" s="108"/>
    </row>
    <row r="545" spans="1:10" x14ac:dyDescent="0.3">
      <c r="A545" s="422" t="s">
        <v>328</v>
      </c>
      <c r="B545" s="422"/>
      <c r="C545" s="106" t="s">
        <v>614</v>
      </c>
      <c r="D545" s="106">
        <f>6.1-2.15</f>
        <v>3.9499999999999997</v>
      </c>
      <c r="E545" s="106">
        <f>4.79-2.44</f>
        <v>2.35</v>
      </c>
      <c r="F545" s="106"/>
      <c r="G545" s="423">
        <v>2</v>
      </c>
      <c r="H545" s="424"/>
      <c r="I545" s="107">
        <f t="shared" si="51"/>
        <v>18.564999999999998</v>
      </c>
      <c r="J545" s="108"/>
    </row>
    <row r="546" spans="1:10" x14ac:dyDescent="0.3">
      <c r="A546" s="422" t="s">
        <v>328</v>
      </c>
      <c r="B546" s="422"/>
      <c r="C546" s="106" t="s">
        <v>615</v>
      </c>
      <c r="D546" s="106">
        <v>6.1</v>
      </c>
      <c r="E546" s="106">
        <v>2.84</v>
      </c>
      <c r="F546" s="106"/>
      <c r="G546" s="423">
        <v>2</v>
      </c>
      <c r="H546" s="424"/>
      <c r="I546" s="107">
        <f t="shared" si="51"/>
        <v>34.647999999999996</v>
      </c>
      <c r="J546" s="108"/>
    </row>
    <row r="547" spans="1:10" x14ac:dyDescent="0.3">
      <c r="A547" s="422" t="s">
        <v>328</v>
      </c>
      <c r="B547" s="422"/>
      <c r="C547" s="106" t="s">
        <v>615</v>
      </c>
      <c r="D547" s="106">
        <f>6.1-2.15</f>
        <v>3.9499999999999997</v>
      </c>
      <c r="E547" s="106">
        <f>4.79-2.84</f>
        <v>1.9500000000000002</v>
      </c>
      <c r="F547" s="106"/>
      <c r="G547" s="423">
        <v>2</v>
      </c>
      <c r="H547" s="424"/>
      <c r="I547" s="107">
        <f t="shared" si="51"/>
        <v>15.405000000000001</v>
      </c>
      <c r="J547" s="108"/>
    </row>
    <row r="548" spans="1:10" x14ac:dyDescent="0.3">
      <c r="A548" s="422" t="s">
        <v>328</v>
      </c>
      <c r="B548" s="422"/>
      <c r="C548" s="106" t="s">
        <v>474</v>
      </c>
      <c r="D548" s="106">
        <v>10.35</v>
      </c>
      <c r="E548" s="106">
        <v>1.8</v>
      </c>
      <c r="F548" s="106"/>
      <c r="G548" s="423">
        <v>1</v>
      </c>
      <c r="H548" s="424"/>
      <c r="I548" s="107">
        <f t="shared" si="51"/>
        <v>18.63</v>
      </c>
      <c r="J548" s="108"/>
    </row>
    <row r="549" spans="1:10" x14ac:dyDescent="0.3">
      <c r="A549" s="422" t="s">
        <v>328</v>
      </c>
      <c r="B549" s="422"/>
      <c r="C549" s="106" t="s">
        <v>618</v>
      </c>
      <c r="D549" s="106">
        <v>15.1</v>
      </c>
      <c r="E549" s="106">
        <v>2.5</v>
      </c>
      <c r="F549" s="106"/>
      <c r="G549" s="423">
        <v>1</v>
      </c>
      <c r="H549" s="424"/>
      <c r="I549" s="107">
        <f t="shared" si="51"/>
        <v>37.75</v>
      </c>
      <c r="J549" s="108"/>
    </row>
    <row r="550" spans="1:10" x14ac:dyDescent="0.3">
      <c r="A550" s="425" t="s">
        <v>1</v>
      </c>
      <c r="B550" s="426"/>
      <c r="C550" s="426"/>
      <c r="D550" s="426"/>
      <c r="E550" s="426"/>
      <c r="F550" s="426"/>
      <c r="G550" s="426"/>
      <c r="H550" s="427"/>
      <c r="I550" s="109">
        <f>SUM(I542:I549)</f>
        <v>174.36599999999999</v>
      </c>
    </row>
    <row r="551" spans="1:10" x14ac:dyDescent="0.3">
      <c r="A551" s="110"/>
      <c r="B551" s="110"/>
      <c r="C551" s="110"/>
      <c r="D551" s="110"/>
      <c r="E551" s="110"/>
      <c r="F551" s="110"/>
      <c r="G551" s="110"/>
      <c r="H551" s="110"/>
      <c r="I551" s="111"/>
    </row>
    <row r="552" spans="1:10" ht="14.4" customHeight="1" x14ac:dyDescent="0.3">
      <c r="A552" s="428" t="s">
        <v>12</v>
      </c>
      <c r="B552" s="428"/>
      <c r="C552" s="429" t="str">
        <f>VLOOKUP(A553,PRESUPUESTO!$A$14:$G$83,2,)</f>
        <v>Suministro e instalación de cerámica para pared 30x30 cm color blanco (incluye alistado)</v>
      </c>
      <c r="D552" s="430"/>
      <c r="E552" s="430"/>
      <c r="F552" s="430"/>
      <c r="G552" s="430"/>
      <c r="H552" s="431"/>
      <c r="I552" s="104" t="s">
        <v>14</v>
      </c>
    </row>
    <row r="553" spans="1:10" x14ac:dyDescent="0.3">
      <c r="A553" s="428">
        <v>6.8</v>
      </c>
      <c r="B553" s="428"/>
      <c r="C553" s="432"/>
      <c r="D553" s="433"/>
      <c r="E553" s="433"/>
      <c r="F553" s="433"/>
      <c r="G553" s="433"/>
      <c r="H553" s="434"/>
      <c r="I553" s="104" t="str">
        <f>VLOOKUP(A553,PRESUPUESTO!$A$14:$G$83,4,)</f>
        <v>M2</v>
      </c>
    </row>
    <row r="554" spans="1:10" ht="16.850000000000001" customHeight="1" x14ac:dyDescent="0.3">
      <c r="A554" s="428" t="s">
        <v>13</v>
      </c>
      <c r="B554" s="428"/>
      <c r="C554" s="428"/>
      <c r="D554" s="104" t="s">
        <v>72</v>
      </c>
      <c r="E554" s="104" t="s">
        <v>75</v>
      </c>
      <c r="F554" s="104" t="s">
        <v>76</v>
      </c>
      <c r="G554" s="435" t="s">
        <v>74</v>
      </c>
      <c r="H554" s="436"/>
      <c r="I554" s="104" t="s">
        <v>1</v>
      </c>
      <c r="J554" s="105"/>
    </row>
    <row r="555" spans="1:10" x14ac:dyDescent="0.3">
      <c r="A555" s="422" t="s">
        <v>328</v>
      </c>
      <c r="B555" s="422"/>
      <c r="C555" s="106" t="s">
        <v>616</v>
      </c>
      <c r="D555" s="106">
        <v>1</v>
      </c>
      <c r="E555" s="106">
        <v>2.1</v>
      </c>
      <c r="F555" s="106"/>
      <c r="G555" s="423">
        <v>4</v>
      </c>
      <c r="H555" s="424"/>
      <c r="I555" s="107">
        <f t="shared" ref="I555:I557" si="52">D555*E555*G555</f>
        <v>8.4</v>
      </c>
      <c r="J555" s="108"/>
    </row>
    <row r="556" spans="1:10" x14ac:dyDescent="0.3">
      <c r="A556" s="422" t="s">
        <v>328</v>
      </c>
      <c r="B556" s="422"/>
      <c r="C556" s="106" t="s">
        <v>617</v>
      </c>
      <c r="D556" s="106">
        <v>1.31</v>
      </c>
      <c r="E556" s="106">
        <v>2.1</v>
      </c>
      <c r="F556" s="106"/>
      <c r="G556" s="423">
        <v>2</v>
      </c>
      <c r="H556" s="424"/>
      <c r="I556" s="107">
        <f t="shared" si="52"/>
        <v>5.5020000000000007</v>
      </c>
      <c r="J556" s="108"/>
    </row>
    <row r="557" spans="1:10" x14ac:dyDescent="0.3">
      <c r="A557" s="422" t="s">
        <v>328</v>
      </c>
      <c r="B557" s="422"/>
      <c r="C557" s="106" t="s">
        <v>617</v>
      </c>
      <c r="D557" s="106">
        <v>1</v>
      </c>
      <c r="E557" s="106">
        <v>2.1</v>
      </c>
      <c r="F557" s="106"/>
      <c r="G557" s="423">
        <v>2</v>
      </c>
      <c r="H557" s="424"/>
      <c r="I557" s="107">
        <f t="shared" si="52"/>
        <v>4.2</v>
      </c>
      <c r="J557" s="108"/>
    </row>
    <row r="558" spans="1:10" x14ac:dyDescent="0.3">
      <c r="A558" s="422"/>
      <c r="B558" s="422"/>
      <c r="C558" s="106"/>
      <c r="D558" s="106"/>
      <c r="E558" s="106"/>
      <c r="F558" s="106"/>
      <c r="G558" s="423"/>
      <c r="H558" s="424"/>
      <c r="I558" s="107"/>
      <c r="J558" s="108"/>
    </row>
    <row r="559" spans="1:10" x14ac:dyDescent="0.3">
      <c r="A559" s="422"/>
      <c r="B559" s="422"/>
      <c r="C559" s="106"/>
      <c r="D559" s="106"/>
      <c r="E559" s="106"/>
      <c r="F559" s="106"/>
      <c r="G559" s="423"/>
      <c r="H559" s="424"/>
      <c r="I559" s="107"/>
      <c r="J559" s="108"/>
    </row>
    <row r="560" spans="1:10" x14ac:dyDescent="0.3">
      <c r="A560" s="422"/>
      <c r="B560" s="422"/>
      <c r="C560" s="106"/>
      <c r="D560" s="106"/>
      <c r="E560" s="106"/>
      <c r="F560" s="106"/>
      <c r="G560" s="423"/>
      <c r="H560" s="424"/>
      <c r="I560" s="107"/>
      <c r="J560" s="108"/>
    </row>
    <row r="561" spans="1:10" x14ac:dyDescent="0.3">
      <c r="A561" s="422"/>
      <c r="B561" s="422"/>
      <c r="C561" s="106"/>
      <c r="D561" s="106"/>
      <c r="E561" s="106"/>
      <c r="F561" s="106"/>
      <c r="G561" s="423"/>
      <c r="H561" s="424"/>
      <c r="I561" s="107"/>
      <c r="J561" s="108"/>
    </row>
    <row r="562" spans="1:10" x14ac:dyDescent="0.3">
      <c r="A562" s="422"/>
      <c r="B562" s="422"/>
      <c r="C562" s="106"/>
      <c r="D562" s="106"/>
      <c r="E562" s="106"/>
      <c r="F562" s="106"/>
      <c r="G562" s="423"/>
      <c r="H562" s="424"/>
      <c r="I562" s="107"/>
      <c r="J562" s="108"/>
    </row>
    <row r="563" spans="1:10" x14ac:dyDescent="0.3">
      <c r="A563" s="425" t="s">
        <v>1</v>
      </c>
      <c r="B563" s="426"/>
      <c r="C563" s="426"/>
      <c r="D563" s="426"/>
      <c r="E563" s="426"/>
      <c r="F563" s="426"/>
      <c r="G563" s="426"/>
      <c r="H563" s="427"/>
      <c r="I563" s="109">
        <f>SUM(I555:I562)</f>
        <v>18.102</v>
      </c>
    </row>
    <row r="564" spans="1:10" x14ac:dyDescent="0.3">
      <c r="A564" s="110"/>
      <c r="B564" s="110"/>
      <c r="C564" s="110"/>
      <c r="D564" s="110"/>
      <c r="E564" s="110"/>
      <c r="F564" s="110"/>
      <c r="G564" s="110"/>
      <c r="H564" s="110"/>
      <c r="I564" s="111"/>
    </row>
    <row r="565" spans="1:10" ht="14.4" customHeight="1" x14ac:dyDescent="0.3">
      <c r="A565" s="428" t="s">
        <v>12</v>
      </c>
      <c r="B565" s="428"/>
      <c r="C565" s="429" t="str">
        <f>VLOOKUP(A566,PRESUPUESTO!$A$14:$G$83,2,)</f>
        <v>Guardaescoba ceramica h=7cm</v>
      </c>
      <c r="D565" s="430"/>
      <c r="E565" s="430"/>
      <c r="F565" s="430"/>
      <c r="G565" s="430"/>
      <c r="H565" s="431"/>
      <c r="I565" s="104" t="s">
        <v>14</v>
      </c>
    </row>
    <row r="566" spans="1:10" x14ac:dyDescent="0.3">
      <c r="A566" s="428">
        <v>6.9</v>
      </c>
      <c r="B566" s="428"/>
      <c r="C566" s="432"/>
      <c r="D566" s="433"/>
      <c r="E566" s="433"/>
      <c r="F566" s="433"/>
      <c r="G566" s="433"/>
      <c r="H566" s="434"/>
      <c r="I566" s="104" t="str">
        <f>VLOOKUP(A566,PRESUPUESTO!$A$14:$G$83,4,)</f>
        <v>ML</v>
      </c>
    </row>
    <row r="567" spans="1:10" ht="16.850000000000001" customHeight="1" x14ac:dyDescent="0.3">
      <c r="A567" s="428" t="s">
        <v>13</v>
      </c>
      <c r="B567" s="428"/>
      <c r="C567" s="428"/>
      <c r="D567" s="104" t="s">
        <v>72</v>
      </c>
      <c r="E567" s="104" t="s">
        <v>75</v>
      </c>
      <c r="F567" s="104" t="s">
        <v>76</v>
      </c>
      <c r="G567" s="435" t="s">
        <v>74</v>
      </c>
      <c r="H567" s="436"/>
      <c r="I567" s="104" t="s">
        <v>1</v>
      </c>
      <c r="J567" s="105"/>
    </row>
    <row r="568" spans="1:10" x14ac:dyDescent="0.3">
      <c r="A568" s="422" t="s">
        <v>328</v>
      </c>
      <c r="B568" s="422"/>
      <c r="C568" s="106" t="s">
        <v>614</v>
      </c>
      <c r="D568" s="106"/>
      <c r="E568" s="106">
        <f>6.1+2.44+4.79+2.95+1.35+2.15</f>
        <v>19.779999999999998</v>
      </c>
      <c r="F568" s="106"/>
      <c r="G568" s="423">
        <v>2</v>
      </c>
      <c r="H568" s="424"/>
      <c r="I568" s="107">
        <f>E568*G568</f>
        <v>39.559999999999995</v>
      </c>
      <c r="J568" s="108"/>
    </row>
    <row r="569" spans="1:10" x14ac:dyDescent="0.3">
      <c r="A569" s="422" t="s">
        <v>328</v>
      </c>
      <c r="B569" s="422"/>
      <c r="C569" s="106" t="s">
        <v>615</v>
      </c>
      <c r="D569" s="106"/>
      <c r="E569" s="106">
        <f>6.1+4.79+2.95+2.84+0.7</f>
        <v>17.38</v>
      </c>
      <c r="F569" s="106"/>
      <c r="G569" s="423">
        <v>2</v>
      </c>
      <c r="H569" s="424"/>
      <c r="I569" s="107">
        <f>E569*G569</f>
        <v>34.76</v>
      </c>
      <c r="J569" s="108"/>
    </row>
    <row r="570" spans="1:10" x14ac:dyDescent="0.3">
      <c r="A570" s="422" t="s">
        <v>328</v>
      </c>
      <c r="B570" s="422"/>
      <c r="C570" s="106" t="s">
        <v>483</v>
      </c>
      <c r="D570" s="106"/>
      <c r="E570" s="106">
        <f>10.35-2</f>
        <v>8.35</v>
      </c>
      <c r="F570" s="106"/>
      <c r="G570" s="423">
        <v>2</v>
      </c>
      <c r="H570" s="424"/>
      <c r="I570" s="107">
        <f>E570*G570</f>
        <v>16.7</v>
      </c>
      <c r="J570" s="108"/>
    </row>
    <row r="571" spans="1:10" x14ac:dyDescent="0.3">
      <c r="A571" s="422" t="s">
        <v>328</v>
      </c>
      <c r="B571" s="422"/>
      <c r="C571" s="106" t="s">
        <v>618</v>
      </c>
      <c r="D571" s="106"/>
      <c r="E571" s="106">
        <v>12.65</v>
      </c>
      <c r="F571" s="106"/>
      <c r="G571" s="423">
        <v>1</v>
      </c>
      <c r="H571" s="424"/>
      <c r="I571" s="107">
        <f>E571*G571</f>
        <v>12.65</v>
      </c>
      <c r="J571" s="108"/>
    </row>
    <row r="572" spans="1:10" x14ac:dyDescent="0.3">
      <c r="A572" s="422"/>
      <c r="B572" s="422"/>
      <c r="C572" s="106"/>
      <c r="D572" s="106"/>
      <c r="E572" s="106"/>
      <c r="F572" s="106"/>
      <c r="G572" s="423"/>
      <c r="H572" s="424"/>
      <c r="I572" s="107"/>
      <c r="J572" s="108"/>
    </row>
    <row r="573" spans="1:10" x14ac:dyDescent="0.3">
      <c r="A573" s="422"/>
      <c r="B573" s="422"/>
      <c r="C573" s="106"/>
      <c r="D573" s="106"/>
      <c r="E573" s="106"/>
      <c r="F573" s="106"/>
      <c r="G573" s="423"/>
      <c r="H573" s="424"/>
      <c r="I573" s="107"/>
      <c r="J573" s="108"/>
    </row>
    <row r="574" spans="1:10" x14ac:dyDescent="0.3">
      <c r="A574" s="422"/>
      <c r="B574" s="422"/>
      <c r="C574" s="106"/>
      <c r="D574" s="106"/>
      <c r="E574" s="106"/>
      <c r="F574" s="106"/>
      <c r="G574" s="423"/>
      <c r="H574" s="424"/>
      <c r="I574" s="107"/>
      <c r="J574" s="108"/>
    </row>
    <row r="575" spans="1:10" x14ac:dyDescent="0.3">
      <c r="A575" s="425" t="s">
        <v>1</v>
      </c>
      <c r="B575" s="426"/>
      <c r="C575" s="426"/>
      <c r="D575" s="426"/>
      <c r="E575" s="426"/>
      <c r="F575" s="426"/>
      <c r="G575" s="426"/>
      <c r="H575" s="427"/>
      <c r="I575" s="109">
        <f>SUM(I568:I574)</f>
        <v>103.67</v>
      </c>
    </row>
    <row r="576" spans="1:10" x14ac:dyDescent="0.3">
      <c r="A576" s="110"/>
      <c r="B576" s="110"/>
      <c r="C576" s="110"/>
      <c r="D576" s="110"/>
      <c r="E576" s="110"/>
      <c r="F576" s="110"/>
      <c r="G576" s="110"/>
      <c r="H576" s="110"/>
      <c r="I576" s="111"/>
    </row>
    <row r="577" spans="1:10" ht="14.4" customHeight="1" x14ac:dyDescent="0.3">
      <c r="A577" s="428" t="s">
        <v>12</v>
      </c>
      <c r="B577" s="428"/>
      <c r="C577" s="429" t="str">
        <f>VLOOKUP(A578,PRESUPUESTO!$A$14:$G$83,2,)</f>
        <v>Puerta principal en lamina cold rolled cal 18 entamborada incluye cerradura (1.00X2.10)</v>
      </c>
      <c r="D577" s="430"/>
      <c r="E577" s="430"/>
      <c r="F577" s="430"/>
      <c r="G577" s="430"/>
      <c r="H577" s="431"/>
      <c r="I577" s="104" t="s">
        <v>14</v>
      </c>
    </row>
    <row r="578" spans="1:10" x14ac:dyDescent="0.3">
      <c r="A578" s="428">
        <v>7.1</v>
      </c>
      <c r="B578" s="428"/>
      <c r="C578" s="432"/>
      <c r="D578" s="433"/>
      <c r="E578" s="433"/>
      <c r="F578" s="433"/>
      <c r="G578" s="433"/>
      <c r="H578" s="434"/>
      <c r="I578" s="104" t="str">
        <f>VLOOKUP(A578,PRESUPUESTO!$A$14:$G$83,4,)</f>
        <v>UND</v>
      </c>
    </row>
    <row r="579" spans="1:10" ht="16.850000000000001" customHeight="1" x14ac:dyDescent="0.3">
      <c r="A579" s="428" t="s">
        <v>13</v>
      </c>
      <c r="B579" s="428"/>
      <c r="C579" s="428"/>
      <c r="D579" s="104" t="s">
        <v>72</v>
      </c>
      <c r="E579" s="104" t="s">
        <v>75</v>
      </c>
      <c r="F579" s="104" t="s">
        <v>76</v>
      </c>
      <c r="G579" s="435" t="s">
        <v>74</v>
      </c>
      <c r="H579" s="436"/>
      <c r="I579" s="104" t="s">
        <v>1</v>
      </c>
      <c r="J579" s="105"/>
    </row>
    <row r="580" spans="1:10" x14ac:dyDescent="0.3">
      <c r="A580" s="422" t="s">
        <v>330</v>
      </c>
      <c r="B580" s="422"/>
      <c r="C580" s="106" t="s">
        <v>301</v>
      </c>
      <c r="D580" s="106"/>
      <c r="E580" s="106"/>
      <c r="F580" s="106"/>
      <c r="G580" s="423">
        <v>4</v>
      </c>
      <c r="H580" s="424"/>
      <c r="I580" s="107">
        <f>G580</f>
        <v>4</v>
      </c>
      <c r="J580" s="108"/>
    </row>
    <row r="581" spans="1:10" x14ac:dyDescent="0.3">
      <c r="A581" s="422"/>
      <c r="B581" s="422"/>
      <c r="C581" s="106"/>
      <c r="D581" s="106"/>
      <c r="E581" s="106"/>
      <c r="F581" s="106"/>
      <c r="G581" s="423"/>
      <c r="H581" s="424"/>
      <c r="I581" s="107"/>
      <c r="J581" s="108"/>
    </row>
    <row r="582" spans="1:10" x14ac:dyDescent="0.3">
      <c r="A582" s="422"/>
      <c r="B582" s="422"/>
      <c r="C582" s="106"/>
      <c r="D582" s="106"/>
      <c r="E582" s="106"/>
      <c r="F582" s="106"/>
      <c r="G582" s="423"/>
      <c r="H582" s="424"/>
      <c r="I582" s="107"/>
      <c r="J582" s="108"/>
    </row>
    <row r="583" spans="1:10" x14ac:dyDescent="0.3">
      <c r="A583" s="422"/>
      <c r="B583" s="422"/>
      <c r="C583" s="106"/>
      <c r="D583" s="106"/>
      <c r="E583" s="106"/>
      <c r="F583" s="106"/>
      <c r="G583" s="423"/>
      <c r="H583" s="424"/>
      <c r="I583" s="107"/>
      <c r="J583" s="108"/>
    </row>
    <row r="584" spans="1:10" x14ac:dyDescent="0.3">
      <c r="A584" s="422"/>
      <c r="B584" s="422"/>
      <c r="C584" s="106"/>
      <c r="D584" s="106"/>
      <c r="E584" s="106"/>
      <c r="F584" s="106"/>
      <c r="G584" s="423"/>
      <c r="H584" s="424"/>
      <c r="I584" s="107"/>
      <c r="J584" s="108"/>
    </row>
    <row r="585" spans="1:10" x14ac:dyDescent="0.3">
      <c r="A585" s="422"/>
      <c r="B585" s="422"/>
      <c r="C585" s="106"/>
      <c r="D585" s="106"/>
      <c r="E585" s="106"/>
      <c r="F585" s="106"/>
      <c r="G585" s="423"/>
      <c r="H585" s="424"/>
      <c r="I585" s="107"/>
      <c r="J585" s="108"/>
    </row>
    <row r="586" spans="1:10" x14ac:dyDescent="0.3">
      <c r="A586" s="422"/>
      <c r="B586" s="422"/>
      <c r="C586" s="106"/>
      <c r="D586" s="106"/>
      <c r="E586" s="106"/>
      <c r="F586" s="106"/>
      <c r="G586" s="423"/>
      <c r="H586" s="424"/>
      <c r="I586" s="107"/>
      <c r="J586" s="108"/>
    </row>
    <row r="587" spans="1:10" x14ac:dyDescent="0.3">
      <c r="A587" s="425" t="s">
        <v>1</v>
      </c>
      <c r="B587" s="426"/>
      <c r="C587" s="426"/>
      <c r="D587" s="426"/>
      <c r="E587" s="426"/>
      <c r="F587" s="426"/>
      <c r="G587" s="426"/>
      <c r="H587" s="427"/>
      <c r="I587" s="109">
        <f>SUM(I580:I586)</f>
        <v>4</v>
      </c>
    </row>
    <row r="588" spans="1:10" x14ac:dyDescent="0.3">
      <c r="A588" s="110"/>
      <c r="B588" s="110"/>
      <c r="C588" s="110"/>
      <c r="D588" s="110"/>
      <c r="E588" s="110"/>
      <c r="F588" s="110"/>
      <c r="G588" s="110"/>
      <c r="H588" s="110"/>
      <c r="I588" s="111"/>
    </row>
    <row r="589" spans="1:10" ht="14.4" customHeight="1" x14ac:dyDescent="0.3">
      <c r="A589" s="428" t="s">
        <v>12</v>
      </c>
      <c r="B589" s="428"/>
      <c r="C589" s="429" t="str">
        <f>VLOOKUP(A590,PRESUPUESTO!$A$14:$G$83,2,)</f>
        <v>Puerta de baño en aluminio (1.00x2.10)</v>
      </c>
      <c r="D589" s="430"/>
      <c r="E589" s="430"/>
      <c r="F589" s="430"/>
      <c r="G589" s="430"/>
      <c r="H589" s="431"/>
      <c r="I589" s="104" t="s">
        <v>14</v>
      </c>
    </row>
    <row r="590" spans="1:10" x14ac:dyDescent="0.3">
      <c r="A590" s="428">
        <v>7.2</v>
      </c>
      <c r="B590" s="428"/>
      <c r="C590" s="432"/>
      <c r="D590" s="433"/>
      <c r="E590" s="433"/>
      <c r="F590" s="433"/>
      <c r="G590" s="433"/>
      <c r="H590" s="434"/>
      <c r="I590" s="104" t="str">
        <f>VLOOKUP(A590,PRESUPUESTO!$A$14:$G$83,4,)</f>
        <v>UND</v>
      </c>
    </row>
    <row r="591" spans="1:10" ht="16.850000000000001" customHeight="1" x14ac:dyDescent="0.3">
      <c r="A591" s="428" t="s">
        <v>13</v>
      </c>
      <c r="B591" s="428"/>
      <c r="C591" s="428"/>
      <c r="D591" s="104" t="s">
        <v>72</v>
      </c>
      <c r="E591" s="104" t="s">
        <v>75</v>
      </c>
      <c r="F591" s="104" t="s">
        <v>76</v>
      </c>
      <c r="G591" s="435" t="s">
        <v>74</v>
      </c>
      <c r="H591" s="436"/>
      <c r="I591" s="104" t="s">
        <v>1</v>
      </c>
      <c r="J591" s="105"/>
    </row>
    <row r="592" spans="1:10" x14ac:dyDescent="0.3">
      <c r="A592" s="422" t="s">
        <v>330</v>
      </c>
      <c r="B592" s="422"/>
      <c r="C592" s="106" t="s">
        <v>302</v>
      </c>
      <c r="D592" s="106"/>
      <c r="E592" s="106"/>
      <c r="F592" s="106"/>
      <c r="G592" s="423">
        <v>4</v>
      </c>
      <c r="H592" s="424"/>
      <c r="I592" s="107">
        <f>G592</f>
        <v>4</v>
      </c>
      <c r="J592" s="108"/>
    </row>
    <row r="593" spans="1:10" x14ac:dyDescent="0.3">
      <c r="A593" s="422"/>
      <c r="B593" s="422"/>
      <c r="C593" s="106"/>
      <c r="D593" s="106"/>
      <c r="E593" s="106"/>
      <c r="F593" s="106"/>
      <c r="G593" s="423"/>
      <c r="H593" s="424"/>
      <c r="I593" s="107"/>
      <c r="J593" s="108"/>
    </row>
    <row r="594" spans="1:10" x14ac:dyDescent="0.3">
      <c r="A594" s="422"/>
      <c r="B594" s="422"/>
      <c r="C594" s="106"/>
      <c r="D594" s="106"/>
      <c r="E594" s="106"/>
      <c r="F594" s="106"/>
      <c r="G594" s="423"/>
      <c r="H594" s="424"/>
      <c r="I594" s="107"/>
      <c r="J594" s="108"/>
    </row>
    <row r="595" spans="1:10" x14ac:dyDescent="0.3">
      <c r="A595" s="422"/>
      <c r="B595" s="422"/>
      <c r="C595" s="106"/>
      <c r="D595" s="106"/>
      <c r="E595" s="106"/>
      <c r="F595" s="106"/>
      <c r="G595" s="423"/>
      <c r="H595" s="424"/>
      <c r="I595" s="107"/>
      <c r="J595" s="108"/>
    </row>
    <row r="596" spans="1:10" x14ac:dyDescent="0.3">
      <c r="A596" s="422"/>
      <c r="B596" s="422"/>
      <c r="C596" s="106"/>
      <c r="D596" s="106"/>
      <c r="E596" s="106"/>
      <c r="F596" s="106"/>
      <c r="G596" s="423"/>
      <c r="H596" s="424"/>
      <c r="I596" s="107"/>
      <c r="J596" s="108"/>
    </row>
    <row r="597" spans="1:10" x14ac:dyDescent="0.3">
      <c r="A597" s="422"/>
      <c r="B597" s="422"/>
      <c r="C597" s="106"/>
      <c r="D597" s="106"/>
      <c r="E597" s="106"/>
      <c r="F597" s="106"/>
      <c r="G597" s="423"/>
      <c r="H597" s="424"/>
      <c r="I597" s="107"/>
      <c r="J597" s="108"/>
    </row>
    <row r="598" spans="1:10" x14ac:dyDescent="0.3">
      <c r="A598" s="422"/>
      <c r="B598" s="422"/>
      <c r="C598" s="106"/>
      <c r="D598" s="106"/>
      <c r="E598" s="106"/>
      <c r="F598" s="106"/>
      <c r="G598" s="423"/>
      <c r="H598" s="424"/>
      <c r="I598" s="107"/>
      <c r="J598" s="108"/>
    </row>
    <row r="599" spans="1:10" x14ac:dyDescent="0.3">
      <c r="A599" s="425" t="s">
        <v>1</v>
      </c>
      <c r="B599" s="426"/>
      <c r="C599" s="426"/>
      <c r="D599" s="426"/>
      <c r="E599" s="426"/>
      <c r="F599" s="426"/>
      <c r="G599" s="426"/>
      <c r="H599" s="427"/>
      <c r="I599" s="109">
        <f>SUM(I592:I598)</f>
        <v>4</v>
      </c>
    </row>
    <row r="600" spans="1:10" x14ac:dyDescent="0.3">
      <c r="A600" s="110"/>
      <c r="B600" s="110"/>
      <c r="C600" s="110"/>
      <c r="D600" s="110"/>
      <c r="E600" s="110"/>
      <c r="F600" s="110"/>
      <c r="G600" s="110"/>
      <c r="H600" s="110"/>
      <c r="I600" s="111"/>
    </row>
    <row r="601" spans="1:10" ht="14.4" customHeight="1" x14ac:dyDescent="0.3">
      <c r="A601" s="428" t="s">
        <v>12</v>
      </c>
      <c r="B601" s="428"/>
      <c r="C601" s="429" t="str">
        <f>VLOOKUP(A602,PRESUPUESTO!$A$14:$G$83,2,)</f>
        <v>Ventana en aluminio tipo persiana (0.90x0.60)</v>
      </c>
      <c r="D601" s="430"/>
      <c r="E601" s="430"/>
      <c r="F601" s="430"/>
      <c r="G601" s="430"/>
      <c r="H601" s="431"/>
      <c r="I601" s="104" t="s">
        <v>14</v>
      </c>
    </row>
    <row r="602" spans="1:10" x14ac:dyDescent="0.3">
      <c r="A602" s="428">
        <v>7.4</v>
      </c>
      <c r="B602" s="428"/>
      <c r="C602" s="432"/>
      <c r="D602" s="433"/>
      <c r="E602" s="433"/>
      <c r="F602" s="433"/>
      <c r="G602" s="433"/>
      <c r="H602" s="434"/>
      <c r="I602" s="104" t="str">
        <f>VLOOKUP(A602,PRESUPUESTO!$A$14:$G$83,4,)</f>
        <v>UND</v>
      </c>
    </row>
    <row r="603" spans="1:10" ht="16.850000000000001" customHeight="1" x14ac:dyDescent="0.3">
      <c r="A603" s="428" t="s">
        <v>13</v>
      </c>
      <c r="B603" s="428"/>
      <c r="C603" s="428"/>
      <c r="D603" s="104" t="s">
        <v>72</v>
      </c>
      <c r="E603" s="104" t="s">
        <v>75</v>
      </c>
      <c r="F603" s="104" t="s">
        <v>76</v>
      </c>
      <c r="G603" s="435" t="s">
        <v>74</v>
      </c>
      <c r="H603" s="436"/>
      <c r="I603" s="104" t="s">
        <v>1</v>
      </c>
      <c r="J603" s="105"/>
    </row>
    <row r="604" spans="1:10" x14ac:dyDescent="0.3">
      <c r="A604" s="422" t="s">
        <v>330</v>
      </c>
      <c r="B604" s="422"/>
      <c r="C604" s="106" t="s">
        <v>299</v>
      </c>
      <c r="D604" s="106"/>
      <c r="E604" s="106"/>
      <c r="F604" s="106"/>
      <c r="G604" s="423">
        <v>4</v>
      </c>
      <c r="H604" s="424"/>
      <c r="I604" s="107">
        <f>G604</f>
        <v>4</v>
      </c>
      <c r="J604" s="108"/>
    </row>
    <row r="605" spans="1:10" x14ac:dyDescent="0.3">
      <c r="A605" s="422"/>
      <c r="B605" s="422"/>
      <c r="C605" s="106"/>
      <c r="D605" s="106"/>
      <c r="E605" s="106"/>
      <c r="F605" s="106"/>
      <c r="G605" s="423"/>
      <c r="H605" s="424"/>
      <c r="I605" s="107"/>
      <c r="J605" s="108"/>
    </row>
    <row r="606" spans="1:10" x14ac:dyDescent="0.3">
      <c r="A606" s="422"/>
      <c r="B606" s="422"/>
      <c r="C606" s="106"/>
      <c r="D606" s="106"/>
      <c r="E606" s="106"/>
      <c r="F606" s="106"/>
      <c r="G606" s="423"/>
      <c r="H606" s="424"/>
      <c r="I606" s="107"/>
      <c r="J606" s="108"/>
    </row>
    <row r="607" spans="1:10" x14ac:dyDescent="0.3">
      <c r="A607" s="422"/>
      <c r="B607" s="422"/>
      <c r="C607" s="106"/>
      <c r="D607" s="106"/>
      <c r="E607" s="106"/>
      <c r="F607" s="106"/>
      <c r="G607" s="423"/>
      <c r="H607" s="424"/>
      <c r="I607" s="107"/>
      <c r="J607" s="108"/>
    </row>
    <row r="608" spans="1:10" x14ac:dyDescent="0.3">
      <c r="A608" s="422"/>
      <c r="B608" s="422"/>
      <c r="C608" s="106"/>
      <c r="D608" s="106"/>
      <c r="E608" s="106"/>
      <c r="F608" s="106"/>
      <c r="G608" s="423"/>
      <c r="H608" s="424"/>
      <c r="I608" s="107"/>
      <c r="J608" s="108"/>
    </row>
    <row r="609" spans="1:10" x14ac:dyDescent="0.3">
      <c r="A609" s="422"/>
      <c r="B609" s="422"/>
      <c r="C609" s="106"/>
      <c r="D609" s="106"/>
      <c r="E609" s="106"/>
      <c r="F609" s="106"/>
      <c r="G609" s="423"/>
      <c r="H609" s="424"/>
      <c r="I609" s="107"/>
      <c r="J609" s="108"/>
    </row>
    <row r="610" spans="1:10" x14ac:dyDescent="0.3">
      <c r="A610" s="422"/>
      <c r="B610" s="422"/>
      <c r="C610" s="106"/>
      <c r="D610" s="106"/>
      <c r="E610" s="106"/>
      <c r="F610" s="106"/>
      <c r="G610" s="423"/>
      <c r="H610" s="424"/>
      <c r="I610" s="107"/>
      <c r="J610" s="108"/>
    </row>
    <row r="611" spans="1:10" x14ac:dyDescent="0.3">
      <c r="A611" s="425" t="s">
        <v>1</v>
      </c>
      <c r="B611" s="426"/>
      <c r="C611" s="426"/>
      <c r="D611" s="426"/>
      <c r="E611" s="426"/>
      <c r="F611" s="426"/>
      <c r="G611" s="426"/>
      <c r="H611" s="427"/>
      <c r="I611" s="109">
        <f>SUM(I604:I610)</f>
        <v>4</v>
      </c>
    </row>
    <row r="612" spans="1:10" x14ac:dyDescent="0.3">
      <c r="A612" s="110"/>
      <c r="B612" s="110"/>
      <c r="C612" s="110"/>
      <c r="D612" s="110"/>
      <c r="E612" s="110"/>
      <c r="F612" s="110"/>
      <c r="G612" s="110"/>
      <c r="H612" s="110"/>
      <c r="I612" s="111"/>
    </row>
    <row r="613" spans="1:10" ht="14.4" customHeight="1" x14ac:dyDescent="0.3">
      <c r="A613" s="428" t="s">
        <v>12</v>
      </c>
      <c r="B613" s="428"/>
      <c r="C613" s="429" t="str">
        <f>VLOOKUP(A614,PRESUPUESTO!$A$14:$G$83,2,)</f>
        <v>Ventana en lamina Cold rolled (2.00x1.90) Corrediza incluye vidrio</v>
      </c>
      <c r="D613" s="430"/>
      <c r="E613" s="430"/>
      <c r="F613" s="430"/>
      <c r="G613" s="430"/>
      <c r="H613" s="431"/>
      <c r="I613" s="104" t="s">
        <v>14</v>
      </c>
    </row>
    <row r="614" spans="1:10" x14ac:dyDescent="0.3">
      <c r="A614" s="428">
        <v>7.6</v>
      </c>
      <c r="B614" s="428"/>
      <c r="C614" s="432"/>
      <c r="D614" s="433"/>
      <c r="E614" s="433"/>
      <c r="F614" s="433"/>
      <c r="G614" s="433"/>
      <c r="H614" s="434"/>
      <c r="I614" s="104" t="str">
        <f>VLOOKUP(A614,PRESUPUESTO!$A$14:$G$83,4,)</f>
        <v>UND</v>
      </c>
    </row>
    <row r="615" spans="1:10" ht="16.850000000000001" customHeight="1" x14ac:dyDescent="0.3">
      <c r="A615" s="428" t="s">
        <v>13</v>
      </c>
      <c r="B615" s="428"/>
      <c r="C615" s="428"/>
      <c r="D615" s="104" t="s">
        <v>72</v>
      </c>
      <c r="E615" s="104" t="s">
        <v>75</v>
      </c>
      <c r="F615" s="104" t="s">
        <v>76</v>
      </c>
      <c r="G615" s="435" t="s">
        <v>74</v>
      </c>
      <c r="H615" s="436"/>
      <c r="I615" s="104" t="s">
        <v>1</v>
      </c>
      <c r="J615" s="105"/>
    </row>
    <row r="616" spans="1:10" x14ac:dyDescent="0.3">
      <c r="A616" s="422" t="s">
        <v>330</v>
      </c>
      <c r="B616" s="422"/>
      <c r="C616" s="106" t="s">
        <v>485</v>
      </c>
      <c r="D616" s="106"/>
      <c r="E616" s="106"/>
      <c r="F616" s="106"/>
      <c r="G616" s="423">
        <v>4</v>
      </c>
      <c r="H616" s="424"/>
      <c r="I616" s="107">
        <f>G616</f>
        <v>4</v>
      </c>
      <c r="J616" s="108"/>
    </row>
    <row r="617" spans="1:10" x14ac:dyDescent="0.3">
      <c r="A617" s="422"/>
      <c r="B617" s="422"/>
      <c r="C617" s="106"/>
      <c r="D617" s="106"/>
      <c r="E617" s="106"/>
      <c r="F617" s="106"/>
      <c r="G617" s="423"/>
      <c r="H617" s="424"/>
      <c r="I617" s="107"/>
      <c r="J617" s="108"/>
    </row>
    <row r="618" spans="1:10" x14ac:dyDescent="0.3">
      <c r="A618" s="422"/>
      <c r="B618" s="422"/>
      <c r="C618" s="106"/>
      <c r="D618" s="106"/>
      <c r="E618" s="106"/>
      <c r="F618" s="106"/>
      <c r="G618" s="423"/>
      <c r="H618" s="424"/>
      <c r="I618" s="107"/>
      <c r="J618" s="108"/>
    </row>
    <row r="619" spans="1:10" x14ac:dyDescent="0.3">
      <c r="A619" s="422"/>
      <c r="B619" s="422"/>
      <c r="C619" s="106"/>
      <c r="D619" s="106"/>
      <c r="E619" s="106"/>
      <c r="F619" s="106"/>
      <c r="G619" s="423"/>
      <c r="H619" s="424"/>
      <c r="I619" s="107"/>
      <c r="J619" s="108"/>
    </row>
    <row r="620" spans="1:10" x14ac:dyDescent="0.3">
      <c r="A620" s="422"/>
      <c r="B620" s="422"/>
      <c r="C620" s="106"/>
      <c r="D620" s="106"/>
      <c r="E620" s="106"/>
      <c r="F620" s="106"/>
      <c r="G620" s="423"/>
      <c r="H620" s="424"/>
      <c r="I620" s="107"/>
      <c r="J620" s="108"/>
    </row>
    <row r="621" spans="1:10" x14ac:dyDescent="0.3">
      <c r="A621" s="422"/>
      <c r="B621" s="422"/>
      <c r="C621" s="106"/>
      <c r="D621" s="106"/>
      <c r="E621" s="106"/>
      <c r="F621" s="106"/>
      <c r="G621" s="423"/>
      <c r="H621" s="424"/>
      <c r="I621" s="107"/>
      <c r="J621" s="108"/>
    </row>
    <row r="622" spans="1:10" x14ac:dyDescent="0.3">
      <c r="A622" s="422"/>
      <c r="B622" s="422"/>
      <c r="C622" s="106"/>
      <c r="D622" s="106"/>
      <c r="E622" s="106"/>
      <c r="F622" s="106"/>
      <c r="G622" s="423"/>
      <c r="H622" s="424"/>
      <c r="I622" s="107"/>
      <c r="J622" s="108"/>
    </row>
    <row r="623" spans="1:10" x14ac:dyDescent="0.3">
      <c r="A623" s="425" t="s">
        <v>1</v>
      </c>
      <c r="B623" s="426"/>
      <c r="C623" s="426"/>
      <c r="D623" s="426"/>
      <c r="E623" s="426"/>
      <c r="F623" s="426"/>
      <c r="G623" s="426"/>
      <c r="H623" s="427"/>
      <c r="I623" s="109">
        <f>SUM(I616:I622)</f>
        <v>4</v>
      </c>
    </row>
    <row r="624" spans="1:10" ht="15.75" thickBot="1" x14ac:dyDescent="0.35">
      <c r="A624" s="113"/>
      <c r="B624" s="113"/>
      <c r="C624" s="113"/>
      <c r="D624" s="113"/>
      <c r="E624" s="113"/>
      <c r="F624" s="113"/>
      <c r="G624" s="113"/>
      <c r="H624" s="113"/>
      <c r="I624" s="114"/>
    </row>
    <row r="625" spans="1:9" ht="15.75" thickBot="1" x14ac:dyDescent="0.35">
      <c r="A625" s="509" t="s">
        <v>390</v>
      </c>
      <c r="B625" s="455"/>
      <c r="C625" s="455"/>
      <c r="D625" s="455"/>
      <c r="E625" s="455"/>
      <c r="F625" s="455"/>
      <c r="G625" s="455"/>
      <c r="H625" s="455"/>
      <c r="I625" s="456"/>
    </row>
    <row r="626" spans="1:9" ht="15.75" thickBot="1" x14ac:dyDescent="0.35">
      <c r="A626" s="113"/>
      <c r="B626" s="113"/>
      <c r="C626" s="113"/>
      <c r="D626" s="113"/>
      <c r="E626" s="113"/>
      <c r="F626" s="113"/>
      <c r="G626" s="113"/>
      <c r="H626" s="113"/>
      <c r="I626" s="114"/>
    </row>
    <row r="627" spans="1:9" ht="15.75" thickBot="1" x14ac:dyDescent="0.35">
      <c r="A627" s="454" t="str">
        <f>PRESUPUESTO!B14</f>
        <v>PRELIMINARES</v>
      </c>
      <c r="B627" s="455"/>
      <c r="C627" s="455"/>
      <c r="D627" s="455"/>
      <c r="E627" s="455"/>
      <c r="F627" s="455"/>
      <c r="G627" s="455"/>
      <c r="H627" s="455"/>
      <c r="I627" s="456"/>
    </row>
    <row r="628" spans="1:9" x14ac:dyDescent="0.3">
      <c r="A628" s="113"/>
      <c r="B628" s="113"/>
      <c r="C628" s="113"/>
      <c r="D628" s="113"/>
      <c r="E628" s="113"/>
      <c r="F628" s="113"/>
      <c r="G628" s="113"/>
      <c r="H628" s="113"/>
      <c r="I628" s="114"/>
    </row>
    <row r="629" spans="1:9" x14ac:dyDescent="0.3">
      <c r="A629" s="428" t="s">
        <v>12</v>
      </c>
      <c r="B629" s="428"/>
      <c r="C629" s="441" t="str">
        <f>VLOOKUP(A630,PRESUPUESTO!$A$14:$G$83,2,)</f>
        <v>Desmonte de pasamanos metálico auto portante con anclaje a piso existente y anclaje lateral a muro existente</v>
      </c>
      <c r="D629" s="442"/>
      <c r="E629" s="442"/>
      <c r="F629" s="442"/>
      <c r="G629" s="442"/>
      <c r="H629" s="443"/>
      <c r="I629" s="104" t="s">
        <v>14</v>
      </c>
    </row>
    <row r="630" spans="1:9" x14ac:dyDescent="0.3">
      <c r="A630" s="428">
        <v>1.2</v>
      </c>
      <c r="B630" s="428"/>
      <c r="C630" s="444"/>
      <c r="D630" s="445"/>
      <c r="E630" s="445"/>
      <c r="F630" s="445"/>
      <c r="G630" s="445"/>
      <c r="H630" s="446"/>
      <c r="I630" s="104" t="str">
        <f>VLOOKUP(A630,PRESUPUESTO!$A$14:$G$83,4,)</f>
        <v>ML</v>
      </c>
    </row>
    <row r="631" spans="1:9" x14ac:dyDescent="0.3">
      <c r="A631" s="428" t="s">
        <v>13</v>
      </c>
      <c r="B631" s="428"/>
      <c r="C631" s="428"/>
      <c r="D631" s="104" t="s">
        <v>75</v>
      </c>
      <c r="E631" s="104" t="s">
        <v>72</v>
      </c>
      <c r="F631" s="104" t="s">
        <v>356</v>
      </c>
      <c r="G631" s="435" t="s">
        <v>74</v>
      </c>
      <c r="H631" s="436"/>
      <c r="I631" s="104" t="s">
        <v>1</v>
      </c>
    </row>
    <row r="632" spans="1:9" x14ac:dyDescent="0.3">
      <c r="A632" s="422" t="s">
        <v>422</v>
      </c>
      <c r="B632" s="422"/>
      <c r="C632" s="106" t="s">
        <v>395</v>
      </c>
      <c r="D632" s="106">
        <v>17</v>
      </c>
      <c r="E632" s="106"/>
      <c r="F632" s="106"/>
      <c r="G632" s="423">
        <v>1</v>
      </c>
      <c r="H632" s="424"/>
      <c r="I632" s="107">
        <f>D632*G632</f>
        <v>17</v>
      </c>
    </row>
    <row r="633" spans="1:9" x14ac:dyDescent="0.3">
      <c r="A633" s="422"/>
      <c r="B633" s="422"/>
      <c r="C633" s="106" t="s">
        <v>396</v>
      </c>
      <c r="D633" s="106">
        <v>12</v>
      </c>
      <c r="E633" s="106"/>
      <c r="F633" s="106"/>
      <c r="G633" s="423">
        <v>1</v>
      </c>
      <c r="H633" s="424"/>
      <c r="I633" s="107">
        <f>D633*G633</f>
        <v>12</v>
      </c>
    </row>
    <row r="634" spans="1:9" x14ac:dyDescent="0.3">
      <c r="A634" s="512" t="s">
        <v>394</v>
      </c>
      <c r="B634" s="513"/>
      <c r="C634" s="106" t="s">
        <v>395</v>
      </c>
      <c r="D634" s="106">
        <f>SUM(5.85+2.2)</f>
        <v>8.0500000000000007</v>
      </c>
      <c r="E634" s="106"/>
      <c r="F634" s="106"/>
      <c r="G634" s="423">
        <v>1</v>
      </c>
      <c r="H634" s="424"/>
      <c r="I634" s="107">
        <f>D634*G634</f>
        <v>8.0500000000000007</v>
      </c>
    </row>
    <row r="635" spans="1:9" x14ac:dyDescent="0.3">
      <c r="A635" s="514"/>
      <c r="B635" s="515"/>
      <c r="C635" s="106" t="s">
        <v>396</v>
      </c>
      <c r="D635" s="106">
        <v>9</v>
      </c>
      <c r="E635" s="106"/>
      <c r="F635" s="106"/>
      <c r="G635" s="423">
        <v>1</v>
      </c>
      <c r="H635" s="424"/>
      <c r="I635" s="107">
        <f>D635*G635</f>
        <v>9</v>
      </c>
    </row>
    <row r="636" spans="1:9" x14ac:dyDescent="0.3">
      <c r="A636" s="516"/>
      <c r="B636" s="517"/>
      <c r="C636" s="106" t="s">
        <v>397</v>
      </c>
      <c r="D636" s="106">
        <f>SUM(5.8+1)</f>
        <v>6.8</v>
      </c>
      <c r="E636" s="106"/>
      <c r="F636" s="106"/>
      <c r="G636" s="423">
        <v>1</v>
      </c>
      <c r="H636" s="424"/>
      <c r="I636" s="107">
        <f>D636*G636</f>
        <v>6.8</v>
      </c>
    </row>
    <row r="637" spans="1:9" x14ac:dyDescent="0.3">
      <c r="A637" s="425" t="s">
        <v>1</v>
      </c>
      <c r="B637" s="426"/>
      <c r="C637" s="426"/>
      <c r="D637" s="426"/>
      <c r="E637" s="426"/>
      <c r="F637" s="426"/>
      <c r="G637" s="426"/>
      <c r="H637" s="427"/>
      <c r="I637" s="109">
        <f>SUM(I632:I636)</f>
        <v>52.849999999999994</v>
      </c>
    </row>
    <row r="638" spans="1:9" x14ac:dyDescent="0.3">
      <c r="A638" s="110"/>
      <c r="B638" s="110"/>
      <c r="C638" s="110"/>
      <c r="D638" s="110"/>
      <c r="E638" s="110"/>
      <c r="F638" s="110"/>
      <c r="G638" s="110"/>
      <c r="H638" s="110"/>
      <c r="I638" s="111"/>
    </row>
    <row r="639" spans="1:9" x14ac:dyDescent="0.3">
      <c r="A639" s="428" t="s">
        <v>12</v>
      </c>
      <c r="B639" s="428"/>
      <c r="C639" s="441" t="str">
        <f>VLOOKUP(A640,PRESUPUESTO!$A$14:$G$83,2,)</f>
        <v>Desmonte de cabinas metálicas existentes</v>
      </c>
      <c r="D639" s="442"/>
      <c r="E639" s="442"/>
      <c r="F639" s="442"/>
      <c r="G639" s="442"/>
      <c r="H639" s="443"/>
      <c r="I639" s="104" t="s">
        <v>14</v>
      </c>
    </row>
    <row r="640" spans="1:9" x14ac:dyDescent="0.3">
      <c r="A640" s="428">
        <v>1.3</v>
      </c>
      <c r="B640" s="428"/>
      <c r="C640" s="444"/>
      <c r="D640" s="445"/>
      <c r="E640" s="445"/>
      <c r="F640" s="445"/>
      <c r="G640" s="445"/>
      <c r="H640" s="446"/>
      <c r="I640" s="104" t="str">
        <f>VLOOKUP(A640,PRESUPUESTO!$A$14:$G$83,4,)</f>
        <v>UND</v>
      </c>
    </row>
    <row r="641" spans="1:9" x14ac:dyDescent="0.3">
      <c r="A641" s="428" t="s">
        <v>13</v>
      </c>
      <c r="B641" s="428"/>
      <c r="C641" s="428"/>
      <c r="D641" s="104" t="s">
        <v>75</v>
      </c>
      <c r="E641" s="104" t="s">
        <v>72</v>
      </c>
      <c r="F641" s="104" t="s">
        <v>356</v>
      </c>
      <c r="G641" s="435" t="s">
        <v>74</v>
      </c>
      <c r="H641" s="436"/>
      <c r="I641" s="104" t="s">
        <v>1</v>
      </c>
    </row>
    <row r="642" spans="1:9" x14ac:dyDescent="0.3">
      <c r="A642" s="457" t="s">
        <v>399</v>
      </c>
      <c r="B642" s="465"/>
      <c r="C642" s="106" t="s">
        <v>398</v>
      </c>
      <c r="D642" s="106"/>
      <c r="E642" s="106"/>
      <c r="F642" s="106"/>
      <c r="G642" s="423">
        <v>4</v>
      </c>
      <c r="H642" s="424"/>
      <c r="I642" s="107">
        <f>G642</f>
        <v>4</v>
      </c>
    </row>
    <row r="643" spans="1:9" x14ac:dyDescent="0.3">
      <c r="A643" s="459"/>
      <c r="B643" s="466"/>
      <c r="C643" s="106"/>
      <c r="D643" s="106"/>
      <c r="E643" s="106"/>
      <c r="F643" s="106"/>
      <c r="G643" s="423"/>
      <c r="H643" s="424"/>
      <c r="I643" s="107">
        <f>D643*G643</f>
        <v>0</v>
      </c>
    </row>
    <row r="644" spans="1:9" x14ac:dyDescent="0.3">
      <c r="A644" s="425" t="s">
        <v>1</v>
      </c>
      <c r="B644" s="426"/>
      <c r="C644" s="426"/>
      <c r="D644" s="426"/>
      <c r="E644" s="426"/>
      <c r="F644" s="426"/>
      <c r="G644" s="426"/>
      <c r="H644" s="427"/>
      <c r="I644" s="284">
        <f>SUM(I642:I643)</f>
        <v>4</v>
      </c>
    </row>
    <row r="645" spans="1:9" x14ac:dyDescent="0.3">
      <c r="A645" s="285"/>
      <c r="B645" s="283"/>
      <c r="C645" s="283"/>
      <c r="D645" s="283"/>
      <c r="E645" s="283"/>
      <c r="F645" s="283"/>
      <c r="G645" s="283"/>
      <c r="H645" s="283"/>
      <c r="I645" s="286"/>
    </row>
    <row r="646" spans="1:9" x14ac:dyDescent="0.3">
      <c r="A646" s="428" t="s">
        <v>12</v>
      </c>
      <c r="B646" s="428"/>
      <c r="C646" s="441" t="str">
        <f>VLOOKUP(A647,PRESUPUESTO!$A$14:$G$83,2,)</f>
        <v>Desmonte de unidades sanitarias y lavamanos existentes</v>
      </c>
      <c r="D646" s="442"/>
      <c r="E646" s="442"/>
      <c r="F646" s="442"/>
      <c r="G646" s="442"/>
      <c r="H646" s="443"/>
      <c r="I646" s="104" t="s">
        <v>14</v>
      </c>
    </row>
    <row r="647" spans="1:9" x14ac:dyDescent="0.3">
      <c r="A647" s="428">
        <v>1.4</v>
      </c>
      <c r="B647" s="428"/>
      <c r="C647" s="444"/>
      <c r="D647" s="445"/>
      <c r="E647" s="445"/>
      <c r="F647" s="445"/>
      <c r="G647" s="445"/>
      <c r="H647" s="446"/>
      <c r="I647" s="104" t="str">
        <f>VLOOKUP(A647,PRESUPUESTO!$A$14:$G$83,4,)</f>
        <v>UND</v>
      </c>
    </row>
    <row r="648" spans="1:9" x14ac:dyDescent="0.3">
      <c r="A648" s="428" t="s">
        <v>13</v>
      </c>
      <c r="B648" s="428"/>
      <c r="C648" s="428"/>
      <c r="D648" s="104" t="s">
        <v>75</v>
      </c>
      <c r="E648" s="104" t="s">
        <v>72</v>
      </c>
      <c r="F648" s="104" t="s">
        <v>356</v>
      </c>
      <c r="G648" s="435" t="s">
        <v>74</v>
      </c>
      <c r="H648" s="436"/>
      <c r="I648" s="104" t="s">
        <v>1</v>
      </c>
    </row>
    <row r="649" spans="1:9" x14ac:dyDescent="0.3">
      <c r="A649" s="457" t="s">
        <v>371</v>
      </c>
      <c r="B649" s="458"/>
      <c r="C649" s="106" t="s">
        <v>400</v>
      </c>
      <c r="D649" s="106"/>
      <c r="E649" s="106"/>
      <c r="F649" s="107"/>
      <c r="G649" s="423">
        <v>4</v>
      </c>
      <c r="H649" s="424"/>
      <c r="I649" s="107">
        <f>G649</f>
        <v>4</v>
      </c>
    </row>
    <row r="650" spans="1:9" x14ac:dyDescent="0.3">
      <c r="A650" s="459"/>
      <c r="B650" s="460"/>
      <c r="C650" s="106" t="s">
        <v>389</v>
      </c>
      <c r="D650" s="287"/>
      <c r="E650" s="287"/>
      <c r="F650" s="107"/>
      <c r="G650" s="510">
        <v>3</v>
      </c>
      <c r="H650" s="511"/>
      <c r="I650" s="107">
        <f>G650</f>
        <v>3</v>
      </c>
    </row>
    <row r="651" spans="1:9" x14ac:dyDescent="0.3">
      <c r="A651" s="425" t="s">
        <v>1</v>
      </c>
      <c r="B651" s="426"/>
      <c r="C651" s="426"/>
      <c r="D651" s="426"/>
      <c r="E651" s="426"/>
      <c r="F651" s="426"/>
      <c r="G651" s="426"/>
      <c r="H651" s="427"/>
      <c r="I651" s="109">
        <f>SUM(I649:I650)</f>
        <v>7</v>
      </c>
    </row>
    <row r="652" spans="1:9" x14ac:dyDescent="0.3">
      <c r="A652" s="113"/>
      <c r="B652" s="113"/>
      <c r="C652" s="113"/>
      <c r="D652" s="113"/>
      <c r="E652" s="113"/>
      <c r="F652" s="113"/>
      <c r="G652" s="113"/>
      <c r="H652" s="113"/>
      <c r="I652" s="114"/>
    </row>
    <row r="653" spans="1:9" x14ac:dyDescent="0.3">
      <c r="A653" s="428" t="s">
        <v>12</v>
      </c>
      <c r="B653" s="428"/>
      <c r="C653" s="441" t="str">
        <f>VLOOKUP(A654,PRESUPUESTO!$A$14:$G$83,2,)</f>
        <v>Demolición de enchape de piso existente</v>
      </c>
      <c r="D653" s="442"/>
      <c r="E653" s="442"/>
      <c r="F653" s="442"/>
      <c r="G653" s="442"/>
      <c r="H653" s="443"/>
      <c r="I653" s="104" t="s">
        <v>14</v>
      </c>
    </row>
    <row r="654" spans="1:9" x14ac:dyDescent="0.3">
      <c r="A654" s="428">
        <v>1.5</v>
      </c>
      <c r="B654" s="428"/>
      <c r="C654" s="444"/>
      <c r="D654" s="445"/>
      <c r="E654" s="445"/>
      <c r="F654" s="445"/>
      <c r="G654" s="445"/>
      <c r="H654" s="446"/>
      <c r="I654" s="104" t="str">
        <f>VLOOKUP(A654,PRESUPUESTO!$A$14:$G$83,4,)</f>
        <v>M2</v>
      </c>
    </row>
    <row r="655" spans="1:9" x14ac:dyDescent="0.3">
      <c r="A655" s="428" t="s">
        <v>13</v>
      </c>
      <c r="B655" s="428"/>
      <c r="C655" s="428"/>
      <c r="D655" s="104" t="s">
        <v>75</v>
      </c>
      <c r="E655" s="104" t="s">
        <v>72</v>
      </c>
      <c r="F655" s="104" t="s">
        <v>356</v>
      </c>
      <c r="G655" s="435" t="s">
        <v>74</v>
      </c>
      <c r="H655" s="436"/>
      <c r="I655" s="104" t="s">
        <v>1</v>
      </c>
    </row>
    <row r="656" spans="1:9" x14ac:dyDescent="0.3">
      <c r="A656" s="457" t="s">
        <v>372</v>
      </c>
      <c r="B656" s="458"/>
      <c r="C656" s="302" t="s">
        <v>370</v>
      </c>
      <c r="D656" s="106">
        <v>5.75</v>
      </c>
      <c r="E656" s="106">
        <v>3.35</v>
      </c>
      <c r="F656" s="107">
        <f>D656*E656</f>
        <v>19.262499999999999</v>
      </c>
      <c r="G656" s="423">
        <v>1</v>
      </c>
      <c r="H656" s="424"/>
      <c r="I656" s="107">
        <f>F656*G656</f>
        <v>19.262499999999999</v>
      </c>
    </row>
    <row r="657" spans="1:9" x14ac:dyDescent="0.3">
      <c r="A657" s="459"/>
      <c r="B657" s="460"/>
      <c r="C657" s="106"/>
      <c r="D657" s="287"/>
      <c r="E657" s="287"/>
      <c r="F657" s="107"/>
      <c r="G657" s="510"/>
      <c r="H657" s="511"/>
      <c r="I657" s="107"/>
    </row>
    <row r="658" spans="1:9" x14ac:dyDescent="0.3">
      <c r="A658" s="425" t="s">
        <v>1</v>
      </c>
      <c r="B658" s="426"/>
      <c r="C658" s="426"/>
      <c r="D658" s="426"/>
      <c r="E658" s="426"/>
      <c r="F658" s="426"/>
      <c r="G658" s="426"/>
      <c r="H658" s="427"/>
      <c r="I658" s="109">
        <f>SUM(I656:I657)</f>
        <v>19.262499999999999</v>
      </c>
    </row>
    <row r="659" spans="1:9" x14ac:dyDescent="0.3">
      <c r="A659" s="113"/>
      <c r="B659" s="113"/>
      <c r="C659" s="113"/>
      <c r="D659" s="113"/>
      <c r="E659" s="113"/>
      <c r="F659" s="113"/>
      <c r="G659" s="113"/>
      <c r="H659" s="113"/>
      <c r="I659" s="114"/>
    </row>
    <row r="660" spans="1:9" x14ac:dyDescent="0.3">
      <c r="A660" s="428" t="s">
        <v>12</v>
      </c>
      <c r="B660" s="428"/>
      <c r="C660" s="441" t="str">
        <f>VLOOKUP(A661,PRESUPUESTO!$A$14:$G$83,2,)</f>
        <v>Demolicion de enchape de muro existente</v>
      </c>
      <c r="D660" s="442"/>
      <c r="E660" s="442"/>
      <c r="F660" s="442"/>
      <c r="G660" s="442"/>
      <c r="H660" s="443"/>
      <c r="I660" s="104" t="s">
        <v>14</v>
      </c>
    </row>
    <row r="661" spans="1:9" x14ac:dyDescent="0.3">
      <c r="A661" s="428">
        <v>1.6</v>
      </c>
      <c r="B661" s="428"/>
      <c r="C661" s="444"/>
      <c r="D661" s="445"/>
      <c r="E661" s="445"/>
      <c r="F661" s="445"/>
      <c r="G661" s="445"/>
      <c r="H661" s="446"/>
      <c r="I661" s="104" t="str">
        <f>VLOOKUP(A661,PRESUPUESTO!$A$14:$G$83,4,)</f>
        <v>M2</v>
      </c>
    </row>
    <row r="662" spans="1:9" x14ac:dyDescent="0.3">
      <c r="A662" s="428" t="s">
        <v>13</v>
      </c>
      <c r="B662" s="428"/>
      <c r="C662" s="428"/>
      <c r="D662" s="104" t="s">
        <v>75</v>
      </c>
      <c r="E662" s="104" t="s">
        <v>76</v>
      </c>
      <c r="F662" s="104" t="s">
        <v>356</v>
      </c>
      <c r="G662" s="435" t="s">
        <v>74</v>
      </c>
      <c r="H662" s="436"/>
      <c r="I662" s="104" t="s">
        <v>1</v>
      </c>
    </row>
    <row r="663" spans="1:9" x14ac:dyDescent="0.3">
      <c r="A663" s="457" t="s">
        <v>372</v>
      </c>
      <c r="B663" s="458"/>
      <c r="C663" s="302" t="s">
        <v>472</v>
      </c>
      <c r="D663" s="106">
        <f>SUM(5.75+5.75+3.35+(3.35-1))</f>
        <v>17.2</v>
      </c>
      <c r="E663" s="106">
        <v>1.5</v>
      </c>
      <c r="F663" s="107">
        <f>D663*E663</f>
        <v>25.799999999999997</v>
      </c>
      <c r="G663" s="423">
        <v>1</v>
      </c>
      <c r="H663" s="424"/>
      <c r="I663" s="107">
        <f>F663*G663</f>
        <v>25.799999999999997</v>
      </c>
    </row>
    <row r="664" spans="1:9" x14ac:dyDescent="0.3">
      <c r="A664" s="459"/>
      <c r="B664" s="460"/>
      <c r="C664" s="106"/>
      <c r="D664" s="287"/>
      <c r="E664" s="287"/>
      <c r="F664" s="107"/>
      <c r="G664" s="510"/>
      <c r="H664" s="511"/>
      <c r="I664" s="107"/>
    </row>
    <row r="665" spans="1:9" x14ac:dyDescent="0.3">
      <c r="A665" s="425" t="s">
        <v>1</v>
      </c>
      <c r="B665" s="426"/>
      <c r="C665" s="426"/>
      <c r="D665" s="426"/>
      <c r="E665" s="426"/>
      <c r="F665" s="426"/>
      <c r="G665" s="426"/>
      <c r="H665" s="427"/>
      <c r="I665" s="109">
        <f>SUM(I663:I664)</f>
        <v>25.799999999999997</v>
      </c>
    </row>
    <row r="666" spans="1:9" x14ac:dyDescent="0.3">
      <c r="A666" s="113"/>
      <c r="B666" s="113"/>
      <c r="C666" s="113"/>
      <c r="D666" s="113"/>
      <c r="E666" s="113"/>
      <c r="F666" s="113"/>
      <c r="G666" s="113"/>
      <c r="H666" s="113"/>
      <c r="I666" s="114"/>
    </row>
    <row r="667" spans="1:9" x14ac:dyDescent="0.3">
      <c r="A667" s="428" t="s">
        <v>12</v>
      </c>
      <c r="B667" s="428"/>
      <c r="C667" s="441" t="str">
        <f>VLOOKUP(A668,PRESUPUESTO!$A$14:$G$83,2,)</f>
        <v>Demolición manual de muro de baño</v>
      </c>
      <c r="D667" s="442"/>
      <c r="E667" s="442"/>
      <c r="F667" s="442"/>
      <c r="G667" s="442"/>
      <c r="H667" s="443"/>
      <c r="I667" s="104" t="s">
        <v>14</v>
      </c>
    </row>
    <row r="668" spans="1:9" x14ac:dyDescent="0.3">
      <c r="A668" s="428">
        <v>1.7</v>
      </c>
      <c r="B668" s="428"/>
      <c r="C668" s="444"/>
      <c r="D668" s="445"/>
      <c r="E668" s="445"/>
      <c r="F668" s="445"/>
      <c r="G668" s="445"/>
      <c r="H668" s="446"/>
      <c r="I668" s="104" t="str">
        <f>VLOOKUP(A668,PRESUPUESTO!$A$14:$G$83,4,)</f>
        <v>M2</v>
      </c>
    </row>
    <row r="669" spans="1:9" x14ac:dyDescent="0.3">
      <c r="A669" s="428" t="s">
        <v>13</v>
      </c>
      <c r="B669" s="428"/>
      <c r="C669" s="428"/>
      <c r="D669" s="104" t="s">
        <v>72</v>
      </c>
      <c r="E669" s="104" t="s">
        <v>76</v>
      </c>
      <c r="F669" s="104" t="s">
        <v>356</v>
      </c>
      <c r="G669" s="435" t="s">
        <v>74</v>
      </c>
      <c r="H669" s="436"/>
      <c r="I669" s="104" t="s">
        <v>1</v>
      </c>
    </row>
    <row r="670" spans="1:9" ht="36.85" customHeight="1" x14ac:dyDescent="0.3">
      <c r="A670" s="457" t="s">
        <v>372</v>
      </c>
      <c r="B670" s="458"/>
      <c r="C670" s="302" t="s">
        <v>412</v>
      </c>
      <c r="D670" s="106">
        <v>1</v>
      </c>
      <c r="E670" s="106">
        <v>2.1</v>
      </c>
      <c r="F670" s="107">
        <f>D670*E670</f>
        <v>2.1</v>
      </c>
      <c r="G670" s="423">
        <v>1</v>
      </c>
      <c r="H670" s="424"/>
      <c r="I670" s="107">
        <f>F670*G670</f>
        <v>2.1</v>
      </c>
    </row>
    <row r="671" spans="1:9" ht="30.15" x14ac:dyDescent="0.3">
      <c r="A671" s="459"/>
      <c r="B671" s="460"/>
      <c r="C671" s="302" t="s">
        <v>413</v>
      </c>
      <c r="D671" s="106">
        <v>1.2</v>
      </c>
      <c r="E671" s="106">
        <v>0.5</v>
      </c>
      <c r="F671" s="107">
        <f>D671*E671</f>
        <v>0.6</v>
      </c>
      <c r="G671" s="423">
        <v>1</v>
      </c>
      <c r="H671" s="424"/>
      <c r="I671" s="107">
        <f>F671*G671</f>
        <v>0.6</v>
      </c>
    </row>
    <row r="672" spans="1:9" x14ac:dyDescent="0.3">
      <c r="A672" s="425" t="s">
        <v>1</v>
      </c>
      <c r="B672" s="426"/>
      <c r="C672" s="426"/>
      <c r="D672" s="426"/>
      <c r="E672" s="426"/>
      <c r="F672" s="426"/>
      <c r="G672" s="426"/>
      <c r="H672" s="427"/>
      <c r="I672" s="109">
        <f>SUM(I670:I671)</f>
        <v>2.7</v>
      </c>
    </row>
    <row r="673" spans="1:9" x14ac:dyDescent="0.3">
      <c r="A673" s="113"/>
      <c r="B673" s="113"/>
      <c r="C673" s="113"/>
      <c r="D673" s="113"/>
      <c r="E673" s="113"/>
      <c r="F673" s="113"/>
      <c r="G673" s="113"/>
      <c r="H673" s="113"/>
      <c r="I673" s="114"/>
    </row>
    <row r="674" spans="1:9" x14ac:dyDescent="0.3">
      <c r="A674" s="428" t="s">
        <v>12</v>
      </c>
      <c r="B674" s="428"/>
      <c r="C674" s="441" t="str">
        <f>VLOOKUP(A675,PRESUPUESTO!$A$14:$G$83,2,)</f>
        <v>Retiro y disposicion de material sobrante</v>
      </c>
      <c r="D674" s="442"/>
      <c r="E674" s="442"/>
      <c r="F674" s="442"/>
      <c r="G674" s="442"/>
      <c r="H674" s="443"/>
      <c r="I674" s="104" t="s">
        <v>14</v>
      </c>
    </row>
    <row r="675" spans="1:9" x14ac:dyDescent="0.3">
      <c r="A675" s="428">
        <v>1.8</v>
      </c>
      <c r="B675" s="428"/>
      <c r="C675" s="444"/>
      <c r="D675" s="445"/>
      <c r="E675" s="445"/>
      <c r="F675" s="445"/>
      <c r="G675" s="445"/>
      <c r="H675" s="446"/>
      <c r="I675" s="104" t="str">
        <f>VLOOKUP(A675,PRESUPUESTO!$A$14:$G$83,4,)</f>
        <v>M3</v>
      </c>
    </row>
    <row r="676" spans="1:9" x14ac:dyDescent="0.3">
      <c r="A676" s="428" t="s">
        <v>13</v>
      </c>
      <c r="B676" s="428"/>
      <c r="C676" s="428"/>
      <c r="D676" s="104" t="s">
        <v>75</v>
      </c>
      <c r="E676" s="104" t="s">
        <v>72</v>
      </c>
      <c r="F676" s="104" t="s">
        <v>76</v>
      </c>
      <c r="G676" s="278" t="s">
        <v>85</v>
      </c>
      <c r="H676" s="303" t="s">
        <v>74</v>
      </c>
      <c r="I676" s="104" t="s">
        <v>1</v>
      </c>
    </row>
    <row r="677" spans="1:9" x14ac:dyDescent="0.3">
      <c r="A677" s="457" t="s">
        <v>372</v>
      </c>
      <c r="B677" s="458"/>
      <c r="C677" s="106" t="s">
        <v>402</v>
      </c>
      <c r="D677" s="106"/>
      <c r="E677" s="106"/>
      <c r="F677" s="107"/>
      <c r="G677" s="107">
        <f>I658+I665+(I672*0.7)</f>
        <v>46.952500000000001</v>
      </c>
      <c r="H677" s="304"/>
      <c r="I677" s="107">
        <f>G677</f>
        <v>46.952500000000001</v>
      </c>
    </row>
    <row r="678" spans="1:9" x14ac:dyDescent="0.3">
      <c r="A678" s="459"/>
      <c r="B678" s="460"/>
      <c r="C678" s="106"/>
      <c r="D678" s="287"/>
      <c r="E678" s="287"/>
      <c r="F678" s="107"/>
      <c r="G678" s="305"/>
      <c r="H678" s="305"/>
      <c r="I678" s="107"/>
    </row>
    <row r="679" spans="1:9" x14ac:dyDescent="0.3">
      <c r="A679" s="425" t="s">
        <v>1</v>
      </c>
      <c r="B679" s="426"/>
      <c r="C679" s="426"/>
      <c r="D679" s="426"/>
      <c r="E679" s="426"/>
      <c r="F679" s="426"/>
      <c r="G679" s="426"/>
      <c r="H679" s="427"/>
      <c r="I679" s="109">
        <f>SUM(I677:I678)</f>
        <v>46.952500000000001</v>
      </c>
    </row>
    <row r="680" spans="1:9" ht="15.75" thickBot="1" x14ac:dyDescent="0.35">
      <c r="A680" s="113"/>
      <c r="B680" s="113"/>
      <c r="C680" s="113"/>
      <c r="D680" s="113"/>
      <c r="E680" s="113"/>
      <c r="F680" s="113"/>
      <c r="G680" s="113"/>
      <c r="H680" s="113"/>
      <c r="I680" s="114"/>
    </row>
    <row r="681" spans="1:9" ht="15.75" thickBot="1" x14ac:dyDescent="0.35">
      <c r="A681" s="454" t="str">
        <f>PRESUPUESTO!B36</f>
        <v>INSTALACIONES HIDROSANITARIAS Y ELECTRICAS</v>
      </c>
      <c r="B681" s="455"/>
      <c r="C681" s="455"/>
      <c r="D681" s="455"/>
      <c r="E681" s="455"/>
      <c r="F681" s="455"/>
      <c r="G681" s="455"/>
      <c r="H681" s="455"/>
      <c r="I681" s="456"/>
    </row>
    <row r="682" spans="1:9" x14ac:dyDescent="0.3">
      <c r="A682" s="113"/>
      <c r="B682" s="113"/>
      <c r="C682" s="113"/>
      <c r="D682" s="113"/>
      <c r="E682" s="113"/>
      <c r="F682" s="113"/>
      <c r="G682" s="113"/>
      <c r="H682" s="113"/>
      <c r="I682" s="114"/>
    </row>
    <row r="683" spans="1:9" x14ac:dyDescent="0.3">
      <c r="A683" s="428" t="s">
        <v>12</v>
      </c>
      <c r="B683" s="428"/>
      <c r="C683" s="441" t="str">
        <f>VLOOKUP(A684,PRESUPUESTO!$A$14:$G$83,2,)</f>
        <v xml:space="preserve">Suministro e instalacion de  tubieria sanitaria en PVC 4" incluido accesorios </v>
      </c>
      <c r="D683" s="442"/>
      <c r="E683" s="442"/>
      <c r="F683" s="442"/>
      <c r="G683" s="442"/>
      <c r="H683" s="443"/>
      <c r="I683" s="104" t="s">
        <v>14</v>
      </c>
    </row>
    <row r="684" spans="1:9" x14ac:dyDescent="0.3">
      <c r="A684" s="428">
        <v>4.3</v>
      </c>
      <c r="B684" s="428"/>
      <c r="C684" s="444"/>
      <c r="D684" s="445"/>
      <c r="E684" s="445"/>
      <c r="F684" s="445"/>
      <c r="G684" s="445"/>
      <c r="H684" s="446"/>
      <c r="I684" s="104" t="str">
        <f>VLOOKUP(A684,PRESUPUESTO!$A$14:$G$83,4,)</f>
        <v>ML</v>
      </c>
    </row>
    <row r="685" spans="1:9" x14ac:dyDescent="0.3">
      <c r="A685" s="428" t="s">
        <v>13</v>
      </c>
      <c r="B685" s="428"/>
      <c r="C685" s="428"/>
      <c r="D685" s="104" t="s">
        <v>75</v>
      </c>
      <c r="E685" s="104" t="s">
        <v>72</v>
      </c>
      <c r="F685" s="104" t="s">
        <v>356</v>
      </c>
      <c r="G685" s="435" t="s">
        <v>74</v>
      </c>
      <c r="H685" s="436"/>
      <c r="I685" s="104" t="s">
        <v>1</v>
      </c>
    </row>
    <row r="686" spans="1:9" x14ac:dyDescent="0.3">
      <c r="A686" s="447" t="s">
        <v>371</v>
      </c>
      <c r="B686" s="448"/>
      <c r="C686" s="301" t="s">
        <v>451</v>
      </c>
      <c r="D686" s="106">
        <v>30</v>
      </c>
      <c r="E686" s="106"/>
      <c r="F686" s="106"/>
      <c r="G686" s="423"/>
      <c r="H686" s="424"/>
      <c r="I686" s="107">
        <f>D686</f>
        <v>30</v>
      </c>
    </row>
    <row r="687" spans="1:9" x14ac:dyDescent="0.3">
      <c r="A687" s="449"/>
      <c r="B687" s="450"/>
      <c r="C687" s="106"/>
      <c r="D687" s="106"/>
      <c r="E687" s="106"/>
      <c r="F687" s="106"/>
      <c r="G687" s="423"/>
      <c r="H687" s="424"/>
      <c r="I687" s="107"/>
    </row>
    <row r="688" spans="1:9" x14ac:dyDescent="0.3">
      <c r="A688" s="425" t="s">
        <v>1</v>
      </c>
      <c r="B688" s="426"/>
      <c r="C688" s="426"/>
      <c r="D688" s="426"/>
      <c r="E688" s="426"/>
      <c r="F688" s="426"/>
      <c r="G688" s="426"/>
      <c r="H688" s="427"/>
      <c r="I688" s="109">
        <f>SUM(I686:I687)</f>
        <v>30</v>
      </c>
    </row>
    <row r="689" spans="1:9" x14ac:dyDescent="0.3">
      <c r="A689" s="113"/>
      <c r="B689" s="113"/>
      <c r="C689" s="113"/>
      <c r="D689" s="113"/>
      <c r="E689" s="113"/>
      <c r="F689" s="113"/>
      <c r="G689" s="113"/>
      <c r="H689" s="113"/>
      <c r="I689" s="114"/>
    </row>
    <row r="690" spans="1:9" x14ac:dyDescent="0.3">
      <c r="A690" s="428" t="s">
        <v>12</v>
      </c>
      <c r="B690" s="428"/>
      <c r="C690" s="441" t="str">
        <f>VLOOKUP(A691,PRESUPUESTO!$A$14:$G$83,2,)</f>
        <v xml:space="preserve">Suministro e instalacion de  tubieria sanitaria en PVC 2" incluido accesorios </v>
      </c>
      <c r="D690" s="442"/>
      <c r="E690" s="442"/>
      <c r="F690" s="442"/>
      <c r="G690" s="442"/>
      <c r="H690" s="443"/>
      <c r="I690" s="104" t="s">
        <v>14</v>
      </c>
    </row>
    <row r="691" spans="1:9" x14ac:dyDescent="0.3">
      <c r="A691" s="428">
        <v>4.4000000000000004</v>
      </c>
      <c r="B691" s="428"/>
      <c r="C691" s="444"/>
      <c r="D691" s="445"/>
      <c r="E691" s="445"/>
      <c r="F691" s="445"/>
      <c r="G691" s="445"/>
      <c r="H691" s="446"/>
      <c r="I691" s="104" t="str">
        <f>VLOOKUP(A691,PRESUPUESTO!$A$14:$G$83,4,)</f>
        <v>ML</v>
      </c>
    </row>
    <row r="692" spans="1:9" x14ac:dyDescent="0.3">
      <c r="A692" s="428" t="s">
        <v>13</v>
      </c>
      <c r="B692" s="428"/>
      <c r="C692" s="428"/>
      <c r="D692" s="104" t="s">
        <v>75</v>
      </c>
      <c r="E692" s="104" t="s">
        <v>72</v>
      </c>
      <c r="F692" s="104" t="s">
        <v>356</v>
      </c>
      <c r="G692" s="435" t="s">
        <v>74</v>
      </c>
      <c r="H692" s="436"/>
      <c r="I692" s="104" t="s">
        <v>1</v>
      </c>
    </row>
    <row r="693" spans="1:9" x14ac:dyDescent="0.3">
      <c r="A693" s="447" t="s">
        <v>371</v>
      </c>
      <c r="B693" s="448"/>
      <c r="C693" s="301" t="s">
        <v>450</v>
      </c>
      <c r="D693" s="106">
        <v>30</v>
      </c>
      <c r="E693" s="106"/>
      <c r="F693" s="106"/>
      <c r="G693" s="423"/>
      <c r="H693" s="424"/>
      <c r="I693" s="107">
        <f>D693</f>
        <v>30</v>
      </c>
    </row>
    <row r="694" spans="1:9" x14ac:dyDescent="0.3">
      <c r="A694" s="449"/>
      <c r="B694" s="450"/>
      <c r="C694" s="106"/>
      <c r="D694" s="106"/>
      <c r="E694" s="106"/>
      <c r="F694" s="106"/>
      <c r="G694" s="423"/>
      <c r="H694" s="424"/>
      <c r="I694" s="107"/>
    </row>
    <row r="695" spans="1:9" x14ac:dyDescent="0.3">
      <c r="A695" s="425" t="s">
        <v>1</v>
      </c>
      <c r="B695" s="426"/>
      <c r="C695" s="426"/>
      <c r="D695" s="426"/>
      <c r="E695" s="426"/>
      <c r="F695" s="426"/>
      <c r="G695" s="426"/>
      <c r="H695" s="427"/>
      <c r="I695" s="109">
        <f>SUM(I693:I694)</f>
        <v>30</v>
      </c>
    </row>
    <row r="696" spans="1:9" x14ac:dyDescent="0.3">
      <c r="A696" s="113"/>
      <c r="B696" s="113"/>
      <c r="C696" s="113"/>
      <c r="D696" s="113"/>
      <c r="E696" s="113"/>
      <c r="F696" s="113"/>
      <c r="G696" s="113"/>
      <c r="H696" s="113"/>
      <c r="I696" s="114"/>
    </row>
    <row r="697" spans="1:9" x14ac:dyDescent="0.3">
      <c r="A697" s="428" t="s">
        <v>12</v>
      </c>
      <c r="B697" s="428"/>
      <c r="C697" s="441" t="str">
        <f>VLOOKUP(A698,PRESUPUESTO!$A$14:$G$83,2,)</f>
        <v>Punto Sanitario 2"</v>
      </c>
      <c r="D697" s="442"/>
      <c r="E697" s="442"/>
      <c r="F697" s="442"/>
      <c r="G697" s="442"/>
      <c r="H697" s="443"/>
      <c r="I697" s="104" t="s">
        <v>14</v>
      </c>
    </row>
    <row r="698" spans="1:9" x14ac:dyDescent="0.3">
      <c r="A698" s="428">
        <v>4.5999999999999996</v>
      </c>
      <c r="B698" s="428"/>
      <c r="C698" s="444"/>
      <c r="D698" s="445"/>
      <c r="E698" s="445"/>
      <c r="F698" s="445"/>
      <c r="G698" s="445"/>
      <c r="H698" s="446"/>
      <c r="I698" s="104" t="str">
        <f>VLOOKUP(A698,PRESUPUESTO!$A$14:$G$83,4,)</f>
        <v>UND</v>
      </c>
    </row>
    <row r="699" spans="1:9" x14ac:dyDescent="0.3">
      <c r="A699" s="428" t="s">
        <v>13</v>
      </c>
      <c r="B699" s="428"/>
      <c r="C699" s="428"/>
      <c r="D699" s="104" t="s">
        <v>75</v>
      </c>
      <c r="E699" s="104" t="s">
        <v>72</v>
      </c>
      <c r="F699" s="104" t="s">
        <v>356</v>
      </c>
      <c r="G699" s="435" t="s">
        <v>74</v>
      </c>
      <c r="H699" s="436"/>
      <c r="I699" s="104" t="s">
        <v>1</v>
      </c>
    </row>
    <row r="700" spans="1:9" x14ac:dyDescent="0.3">
      <c r="A700" s="447" t="s">
        <v>371</v>
      </c>
      <c r="B700" s="448"/>
      <c r="C700" s="301" t="s">
        <v>389</v>
      </c>
      <c r="D700" s="106"/>
      <c r="E700" s="106"/>
      <c r="F700" s="106"/>
      <c r="G700" s="423">
        <v>3</v>
      </c>
      <c r="H700" s="424"/>
      <c r="I700" s="107">
        <f>G700</f>
        <v>3</v>
      </c>
    </row>
    <row r="701" spans="1:9" x14ac:dyDescent="0.3">
      <c r="A701" s="449"/>
      <c r="B701" s="450"/>
      <c r="C701" s="106"/>
      <c r="D701" s="106"/>
      <c r="E701" s="106"/>
      <c r="F701" s="106"/>
      <c r="G701" s="423"/>
      <c r="H701" s="424"/>
      <c r="I701" s="107"/>
    </row>
    <row r="702" spans="1:9" x14ac:dyDescent="0.3">
      <c r="A702" s="425" t="s">
        <v>1</v>
      </c>
      <c r="B702" s="426"/>
      <c r="C702" s="426"/>
      <c r="D702" s="426"/>
      <c r="E702" s="426"/>
      <c r="F702" s="426"/>
      <c r="G702" s="426"/>
      <c r="H702" s="427"/>
      <c r="I702" s="109">
        <f>SUM(I700:I701)</f>
        <v>3</v>
      </c>
    </row>
    <row r="703" spans="1:9" x14ac:dyDescent="0.3">
      <c r="A703" s="113"/>
      <c r="B703" s="113"/>
      <c r="C703" s="113"/>
      <c r="D703" s="113"/>
      <c r="E703" s="113"/>
      <c r="F703" s="113"/>
      <c r="G703" s="113"/>
      <c r="H703" s="113"/>
      <c r="I703" s="114"/>
    </row>
    <row r="704" spans="1:9" x14ac:dyDescent="0.3">
      <c r="A704" s="428" t="s">
        <v>12</v>
      </c>
      <c r="B704" s="428"/>
      <c r="C704" s="441" t="str">
        <f>VLOOKUP(A705,PRESUPUESTO!$A$14:$G$83,2,)</f>
        <v>Punto Sanitario 4"</v>
      </c>
      <c r="D704" s="442"/>
      <c r="E704" s="442"/>
      <c r="F704" s="442"/>
      <c r="G704" s="442"/>
      <c r="H704" s="443"/>
      <c r="I704" s="104" t="s">
        <v>14</v>
      </c>
    </row>
    <row r="705" spans="1:9" x14ac:dyDescent="0.3">
      <c r="A705" s="428">
        <v>4.7</v>
      </c>
      <c r="B705" s="428"/>
      <c r="C705" s="444"/>
      <c r="D705" s="445"/>
      <c r="E705" s="445"/>
      <c r="F705" s="445"/>
      <c r="G705" s="445"/>
      <c r="H705" s="446"/>
      <c r="I705" s="104" t="str">
        <f>VLOOKUP(A705,PRESUPUESTO!$A$14:$G$83,4,)</f>
        <v>UND</v>
      </c>
    </row>
    <row r="706" spans="1:9" x14ac:dyDescent="0.3">
      <c r="A706" s="428" t="s">
        <v>13</v>
      </c>
      <c r="B706" s="428"/>
      <c r="C706" s="428"/>
      <c r="D706" s="104" t="s">
        <v>75</v>
      </c>
      <c r="E706" s="104" t="s">
        <v>72</v>
      </c>
      <c r="F706" s="104" t="s">
        <v>356</v>
      </c>
      <c r="G706" s="435" t="s">
        <v>74</v>
      </c>
      <c r="H706" s="436"/>
      <c r="I706" s="104" t="s">
        <v>1</v>
      </c>
    </row>
    <row r="707" spans="1:9" x14ac:dyDescent="0.3">
      <c r="A707" s="447" t="s">
        <v>371</v>
      </c>
      <c r="B707" s="448"/>
      <c r="C707" s="301" t="s">
        <v>388</v>
      </c>
      <c r="D707" s="106"/>
      <c r="E707" s="106"/>
      <c r="F707" s="106"/>
      <c r="G707" s="423">
        <v>3</v>
      </c>
      <c r="H707" s="424"/>
      <c r="I707" s="107">
        <f>G707</f>
        <v>3</v>
      </c>
    </row>
    <row r="708" spans="1:9" x14ac:dyDescent="0.3">
      <c r="A708" s="449"/>
      <c r="B708" s="450"/>
      <c r="C708" s="106"/>
      <c r="D708" s="106"/>
      <c r="E708" s="106"/>
      <c r="F708" s="106"/>
      <c r="G708" s="423"/>
      <c r="H708" s="424"/>
      <c r="I708" s="107"/>
    </row>
    <row r="709" spans="1:9" x14ac:dyDescent="0.3">
      <c r="A709" s="425" t="s">
        <v>1</v>
      </c>
      <c r="B709" s="426"/>
      <c r="C709" s="426"/>
      <c r="D709" s="426"/>
      <c r="E709" s="426"/>
      <c r="F709" s="426"/>
      <c r="G709" s="426"/>
      <c r="H709" s="427"/>
      <c r="I709" s="109">
        <f>SUM(I707:I708)</f>
        <v>3</v>
      </c>
    </row>
    <row r="710" spans="1:9" x14ac:dyDescent="0.3">
      <c r="A710" s="113"/>
      <c r="B710" s="113"/>
      <c r="C710" s="113"/>
      <c r="D710" s="113"/>
      <c r="E710" s="113"/>
      <c r="F710" s="113"/>
      <c r="G710" s="113"/>
      <c r="H710" s="113"/>
      <c r="I710" s="114"/>
    </row>
    <row r="711" spans="1:9" x14ac:dyDescent="0.3">
      <c r="A711" s="428" t="s">
        <v>12</v>
      </c>
      <c r="B711" s="428"/>
      <c r="C711" s="441" t="str">
        <f>PRESUPUESTO!B46</f>
        <v>Suministro e instalación de lavamanos institucional sobreponer línea económica</v>
      </c>
      <c r="D711" s="442"/>
      <c r="E711" s="442"/>
      <c r="F711" s="442"/>
      <c r="G711" s="442"/>
      <c r="H711" s="443"/>
      <c r="I711" s="104" t="s">
        <v>14</v>
      </c>
    </row>
    <row r="712" spans="1:9" x14ac:dyDescent="0.3">
      <c r="A712" s="437">
        <v>4.0999999999999996</v>
      </c>
      <c r="B712" s="437"/>
      <c r="C712" s="444"/>
      <c r="D712" s="445"/>
      <c r="E712" s="445"/>
      <c r="F712" s="445"/>
      <c r="G712" s="445"/>
      <c r="H712" s="446"/>
      <c r="I712" s="104" t="str">
        <f>VLOOKUP(A712,PRESUPUESTO!$A$14:$G$83,4,)</f>
        <v>ML</v>
      </c>
    </row>
    <row r="713" spans="1:9" x14ac:dyDescent="0.3">
      <c r="A713" s="435" t="s">
        <v>13</v>
      </c>
      <c r="B713" s="453"/>
      <c r="C713" s="436"/>
      <c r="D713" s="104" t="s">
        <v>75</v>
      </c>
      <c r="E713" s="104" t="s">
        <v>72</v>
      </c>
      <c r="F713" s="104" t="s">
        <v>356</v>
      </c>
      <c r="G713" s="435" t="s">
        <v>74</v>
      </c>
      <c r="H713" s="436"/>
      <c r="I713" s="104" t="s">
        <v>1</v>
      </c>
    </row>
    <row r="714" spans="1:9" x14ac:dyDescent="0.3">
      <c r="A714" s="447" t="s">
        <v>371</v>
      </c>
      <c r="B714" s="448"/>
      <c r="C714" s="106" t="s">
        <v>389</v>
      </c>
      <c r="D714" s="106"/>
      <c r="E714" s="106"/>
      <c r="F714" s="106"/>
      <c r="G714" s="423">
        <v>3</v>
      </c>
      <c r="H714" s="424"/>
      <c r="I714" s="107">
        <f>G714</f>
        <v>3</v>
      </c>
    </row>
    <row r="715" spans="1:9" x14ac:dyDescent="0.3">
      <c r="A715" s="449"/>
      <c r="B715" s="450"/>
      <c r="C715" s="106"/>
      <c r="D715" s="106"/>
      <c r="E715" s="106"/>
      <c r="F715" s="107"/>
      <c r="G715" s="423"/>
      <c r="H715" s="424"/>
      <c r="I715" s="107"/>
    </row>
    <row r="716" spans="1:9" x14ac:dyDescent="0.3">
      <c r="A716" s="425" t="s">
        <v>1</v>
      </c>
      <c r="B716" s="426"/>
      <c r="C716" s="426"/>
      <c r="D716" s="426"/>
      <c r="E716" s="426"/>
      <c r="F716" s="426"/>
      <c r="G716" s="426"/>
      <c r="H716" s="427"/>
      <c r="I716" s="109">
        <f>SUM(I714:I715)</f>
        <v>3</v>
      </c>
    </row>
    <row r="717" spans="1:9" x14ac:dyDescent="0.3">
      <c r="A717" s="113"/>
      <c r="B717" s="113"/>
      <c r="C717" s="113"/>
      <c r="D717" s="113"/>
      <c r="E717" s="113"/>
      <c r="F717" s="113"/>
      <c r="G717" s="113"/>
      <c r="H717" s="113"/>
      <c r="I717" s="114"/>
    </row>
    <row r="718" spans="1:9" x14ac:dyDescent="0.3">
      <c r="A718" s="428" t="s">
        <v>12</v>
      </c>
      <c r="B718" s="428"/>
      <c r="C718" s="441" t="str">
        <f>VLOOKUP(A719,PRESUPUESTO!$A$14:$G$83,2,)</f>
        <v>Suministro e instalación de unidad sanitaria tipo PMR (personas con movilidad reducida) línea económica</v>
      </c>
      <c r="D718" s="442"/>
      <c r="E718" s="442"/>
      <c r="F718" s="442"/>
      <c r="G718" s="442"/>
      <c r="H718" s="443"/>
      <c r="I718" s="104" t="s">
        <v>14</v>
      </c>
    </row>
    <row r="719" spans="1:9" x14ac:dyDescent="0.3">
      <c r="A719" s="428">
        <v>4.1100000000000003</v>
      </c>
      <c r="B719" s="428"/>
      <c r="C719" s="444"/>
      <c r="D719" s="445"/>
      <c r="E719" s="445"/>
      <c r="F719" s="445"/>
      <c r="G719" s="445"/>
      <c r="H719" s="446"/>
      <c r="I719" s="104" t="str">
        <f>VLOOKUP(A719,PRESUPUESTO!$A$14:$G$83,4,)</f>
        <v>UND</v>
      </c>
    </row>
    <row r="720" spans="1:9" x14ac:dyDescent="0.3">
      <c r="A720" s="428" t="s">
        <v>13</v>
      </c>
      <c r="B720" s="428"/>
      <c r="C720" s="428"/>
      <c r="D720" s="104" t="s">
        <v>75</v>
      </c>
      <c r="E720" s="104" t="s">
        <v>72</v>
      </c>
      <c r="F720" s="104" t="s">
        <v>356</v>
      </c>
      <c r="G720" s="435" t="s">
        <v>74</v>
      </c>
      <c r="H720" s="436"/>
      <c r="I720" s="104" t="s">
        <v>1</v>
      </c>
    </row>
    <row r="721" spans="1:9" ht="16.55" customHeight="1" x14ac:dyDescent="0.3">
      <c r="A721" s="447" t="s">
        <v>371</v>
      </c>
      <c r="B721" s="448"/>
      <c r="C721" s="301" t="s">
        <v>388</v>
      </c>
      <c r="D721" s="106"/>
      <c r="E721" s="106"/>
      <c r="F721" s="106"/>
      <c r="G721" s="423">
        <v>3</v>
      </c>
      <c r="H721" s="424"/>
      <c r="I721" s="107">
        <f>G721</f>
        <v>3</v>
      </c>
    </row>
    <row r="722" spans="1:9" x14ac:dyDescent="0.3">
      <c r="A722" s="449"/>
      <c r="B722" s="450"/>
      <c r="C722" s="106"/>
      <c r="D722" s="106"/>
      <c r="E722" s="106"/>
      <c r="F722" s="106"/>
      <c r="G722" s="423"/>
      <c r="H722" s="424"/>
      <c r="I722" s="107"/>
    </row>
    <row r="723" spans="1:9" x14ac:dyDescent="0.3">
      <c r="A723" s="425" t="s">
        <v>1</v>
      </c>
      <c r="B723" s="426"/>
      <c r="C723" s="426"/>
      <c r="D723" s="426"/>
      <c r="E723" s="426"/>
      <c r="F723" s="426"/>
      <c r="G723" s="426"/>
      <c r="H723" s="427"/>
      <c r="I723" s="109">
        <f>SUM(I721:I722)</f>
        <v>3</v>
      </c>
    </row>
    <row r="724" spans="1:9" ht="15.75" thickBot="1" x14ac:dyDescent="0.35">
      <c r="A724" s="113"/>
      <c r="B724" s="113"/>
      <c r="C724" s="113"/>
      <c r="D724" s="113"/>
      <c r="E724" s="113"/>
      <c r="F724" s="113"/>
      <c r="G724" s="113"/>
      <c r="H724" s="113"/>
      <c r="I724" s="114"/>
    </row>
    <row r="725" spans="1:9" ht="15.75" thickBot="1" x14ac:dyDescent="0.35">
      <c r="A725" s="454" t="str">
        <f>PRESUPUESTO!B61</f>
        <v>MAMPOSTERIA, ACABADOS, PINTURA Y PISOS</v>
      </c>
      <c r="B725" s="455"/>
      <c r="C725" s="455"/>
      <c r="D725" s="455"/>
      <c r="E725" s="455"/>
      <c r="F725" s="455"/>
      <c r="G725" s="455"/>
      <c r="H725" s="455"/>
      <c r="I725" s="456"/>
    </row>
    <row r="726" spans="1:9" x14ac:dyDescent="0.3">
      <c r="A726" s="113"/>
      <c r="B726" s="113"/>
      <c r="C726" s="113"/>
      <c r="D726" s="113"/>
      <c r="E726" s="113"/>
      <c r="F726" s="113"/>
      <c r="G726" s="113"/>
      <c r="H726" s="113"/>
      <c r="I726" s="114"/>
    </row>
    <row r="727" spans="1:9" x14ac:dyDescent="0.3">
      <c r="A727" s="428" t="s">
        <v>12</v>
      </c>
      <c r="B727" s="428"/>
      <c r="C727" s="441" t="str">
        <f>VLOOKUP(A728,PRESUPUESTO!$A$14:$G$83,2,)</f>
        <v>Muro en mamposteria en ladrillo farol No4.</v>
      </c>
      <c r="D727" s="442"/>
      <c r="E727" s="442"/>
      <c r="F727" s="442"/>
      <c r="G727" s="442"/>
      <c r="H727" s="443"/>
      <c r="I727" s="104" t="s">
        <v>14</v>
      </c>
    </row>
    <row r="728" spans="1:9" x14ac:dyDescent="0.3">
      <c r="A728" s="428">
        <v>6.1</v>
      </c>
      <c r="B728" s="428"/>
      <c r="C728" s="444"/>
      <c r="D728" s="445"/>
      <c r="E728" s="445"/>
      <c r="F728" s="445"/>
      <c r="G728" s="445"/>
      <c r="H728" s="446"/>
      <c r="I728" s="104" t="str">
        <f>VLOOKUP(A728,PRESUPUESTO!$A$14:$G$83,4,)</f>
        <v>M2</v>
      </c>
    </row>
    <row r="729" spans="1:9" x14ac:dyDescent="0.3">
      <c r="A729" s="428" t="s">
        <v>13</v>
      </c>
      <c r="B729" s="428"/>
      <c r="C729" s="428"/>
      <c r="D729" s="104" t="s">
        <v>75</v>
      </c>
      <c r="E729" s="104" t="s">
        <v>76</v>
      </c>
      <c r="F729" s="104" t="s">
        <v>356</v>
      </c>
      <c r="G729" s="435" t="s">
        <v>74</v>
      </c>
      <c r="H729" s="436"/>
      <c r="I729" s="104" t="s">
        <v>1</v>
      </c>
    </row>
    <row r="730" spans="1:9" x14ac:dyDescent="0.3">
      <c r="A730" s="451" t="s">
        <v>420</v>
      </c>
      <c r="B730" s="452"/>
      <c r="C730" s="106" t="s">
        <v>378</v>
      </c>
      <c r="D730" s="106">
        <v>2</v>
      </c>
      <c r="E730" s="106">
        <f>1.4+0.95</f>
        <v>2.3499999999999996</v>
      </c>
      <c r="F730" s="106">
        <f>D730*E730</f>
        <v>4.6999999999999993</v>
      </c>
      <c r="G730" s="423">
        <v>1</v>
      </c>
      <c r="H730" s="424"/>
      <c r="I730" s="107">
        <f>F730*G730</f>
        <v>4.6999999999999993</v>
      </c>
    </row>
    <row r="731" spans="1:9" x14ac:dyDescent="0.3">
      <c r="A731" s="451"/>
      <c r="B731" s="452"/>
      <c r="C731" s="106" t="s">
        <v>418</v>
      </c>
      <c r="D731" s="106">
        <v>1.33</v>
      </c>
      <c r="E731" s="106">
        <v>0.25</v>
      </c>
      <c r="F731" s="107">
        <f>D731*E731</f>
        <v>0.33250000000000002</v>
      </c>
      <c r="G731" s="423">
        <v>1</v>
      </c>
      <c r="H731" s="424"/>
      <c r="I731" s="107">
        <f>F731*G731</f>
        <v>0.33250000000000002</v>
      </c>
    </row>
    <row r="732" spans="1:9" x14ac:dyDescent="0.3">
      <c r="A732" s="425" t="s">
        <v>1</v>
      </c>
      <c r="B732" s="426"/>
      <c r="C732" s="426"/>
      <c r="D732" s="426"/>
      <c r="E732" s="426"/>
      <c r="F732" s="426"/>
      <c r="G732" s="426"/>
      <c r="H732" s="427"/>
      <c r="I732" s="109">
        <f>SUM(I730:I731)</f>
        <v>5.0324999999999989</v>
      </c>
    </row>
    <row r="733" spans="1:9" x14ac:dyDescent="0.3">
      <c r="A733" s="113"/>
      <c r="B733" s="113"/>
      <c r="C733" s="113"/>
      <c r="D733" s="113"/>
      <c r="E733" s="113"/>
      <c r="F733" s="113"/>
      <c r="G733" s="113"/>
      <c r="H733" s="113"/>
      <c r="I733" s="114"/>
    </row>
    <row r="734" spans="1:9" x14ac:dyDescent="0.3">
      <c r="A734" s="428" t="s">
        <v>12</v>
      </c>
      <c r="B734" s="428"/>
      <c r="C734" s="441" t="str">
        <f>VLOOKUP(A735,PRESUPUESTO!$A$14:$G$83,2,)</f>
        <v>Muro en mamposteria en ladrillo farol No3</v>
      </c>
      <c r="D734" s="442"/>
      <c r="E734" s="442"/>
      <c r="F734" s="442"/>
      <c r="G734" s="442"/>
      <c r="H734" s="443"/>
      <c r="I734" s="104" t="s">
        <v>14</v>
      </c>
    </row>
    <row r="735" spans="1:9" x14ac:dyDescent="0.3">
      <c r="A735" s="428">
        <v>6.2</v>
      </c>
      <c r="B735" s="428"/>
      <c r="C735" s="444"/>
      <c r="D735" s="445"/>
      <c r="E735" s="445"/>
      <c r="F735" s="445"/>
      <c r="G735" s="445"/>
      <c r="H735" s="446"/>
      <c r="I735" s="104" t="str">
        <f>VLOOKUP(A735,PRESUPUESTO!$A$14:$G$83,4,)</f>
        <v>M2</v>
      </c>
    </row>
    <row r="736" spans="1:9" x14ac:dyDescent="0.3">
      <c r="A736" s="428" t="s">
        <v>13</v>
      </c>
      <c r="B736" s="428"/>
      <c r="C736" s="428"/>
      <c r="D736" s="104" t="s">
        <v>75</v>
      </c>
      <c r="E736" s="104" t="s">
        <v>76</v>
      </c>
      <c r="F736" s="104" t="s">
        <v>356</v>
      </c>
      <c r="G736" s="435" t="s">
        <v>74</v>
      </c>
      <c r="H736" s="436"/>
      <c r="I736" s="104" t="s">
        <v>1</v>
      </c>
    </row>
    <row r="737" spans="1:9" ht="16.55" customHeight="1" x14ac:dyDescent="0.3">
      <c r="A737" s="429" t="s">
        <v>419</v>
      </c>
      <c r="B737" s="431"/>
      <c r="C737" s="106" t="s">
        <v>377</v>
      </c>
      <c r="D737" s="106">
        <f>SUM(1.75+1.75+1.82+0.97)</f>
        <v>6.29</v>
      </c>
      <c r="E737" s="106">
        <v>2.1</v>
      </c>
      <c r="F737" s="107">
        <f>D737*E737</f>
        <v>13.209000000000001</v>
      </c>
      <c r="G737" s="423">
        <v>1</v>
      </c>
      <c r="H737" s="424"/>
      <c r="I737" s="107">
        <f>F737*G737</f>
        <v>13.209000000000001</v>
      </c>
    </row>
    <row r="738" spans="1:9" x14ac:dyDescent="0.3">
      <c r="A738" s="425" t="s">
        <v>1</v>
      </c>
      <c r="B738" s="426"/>
      <c r="C738" s="426"/>
      <c r="D738" s="426"/>
      <c r="E738" s="426"/>
      <c r="F738" s="426"/>
      <c r="G738" s="426"/>
      <c r="H738" s="427"/>
      <c r="I738" s="109">
        <f>SUM(I737:I737)</f>
        <v>13.209000000000001</v>
      </c>
    </row>
    <row r="739" spans="1:9" x14ac:dyDescent="0.3">
      <c r="A739" s="113"/>
      <c r="B739" s="113"/>
      <c r="C739" s="113"/>
      <c r="D739" s="113"/>
      <c r="E739" s="113"/>
      <c r="F739" s="113"/>
      <c r="G739" s="113"/>
      <c r="H739" s="113"/>
      <c r="I739" s="114"/>
    </row>
    <row r="740" spans="1:9" x14ac:dyDescent="0.3">
      <c r="A740" s="428" t="s">
        <v>12</v>
      </c>
      <c r="B740" s="428"/>
      <c r="C740" s="441" t="str">
        <f>VLOOKUP(A741,PRESUPUESTO!$A$14:$G$83,2,)</f>
        <v xml:space="preserve">aplicación de pañete interior y exterior </v>
      </c>
      <c r="D740" s="442"/>
      <c r="E740" s="442"/>
      <c r="F740" s="442"/>
      <c r="G740" s="442"/>
      <c r="H740" s="443"/>
      <c r="I740" s="104" t="s">
        <v>14</v>
      </c>
    </row>
    <row r="741" spans="1:9" x14ac:dyDescent="0.3">
      <c r="A741" s="428">
        <v>6.4</v>
      </c>
      <c r="B741" s="428"/>
      <c r="C741" s="444"/>
      <c r="D741" s="445"/>
      <c r="E741" s="445"/>
      <c r="F741" s="445"/>
      <c r="G741" s="445"/>
      <c r="H741" s="446"/>
      <c r="I741" s="104" t="str">
        <f>VLOOKUP(A741,PRESUPUESTO!$A$14:$G$83,4,)</f>
        <v>M2</v>
      </c>
    </row>
    <row r="742" spans="1:9" x14ac:dyDescent="0.3">
      <c r="A742" s="428" t="s">
        <v>13</v>
      </c>
      <c r="B742" s="428"/>
      <c r="C742" s="428"/>
      <c r="D742" s="104" t="s">
        <v>75</v>
      </c>
      <c r="E742" s="104" t="s">
        <v>76</v>
      </c>
      <c r="F742" s="104" t="s">
        <v>356</v>
      </c>
      <c r="G742" s="435" t="s">
        <v>74</v>
      </c>
      <c r="H742" s="436"/>
      <c r="I742" s="104" t="s">
        <v>1</v>
      </c>
    </row>
    <row r="743" spans="1:9" x14ac:dyDescent="0.3">
      <c r="A743" s="429" t="s">
        <v>379</v>
      </c>
      <c r="B743" s="431"/>
      <c r="C743" s="106" t="s">
        <v>377</v>
      </c>
      <c r="D743" s="106">
        <f>SUM(1.75+1.75+1.82+0.97)</f>
        <v>6.29</v>
      </c>
      <c r="E743" s="106">
        <v>2.1</v>
      </c>
      <c r="F743" s="107">
        <f>D743*E743</f>
        <v>13.209000000000001</v>
      </c>
      <c r="G743" s="423">
        <v>1</v>
      </c>
      <c r="H743" s="424"/>
      <c r="I743" s="107">
        <f>F743*G743</f>
        <v>13.209000000000001</v>
      </c>
    </row>
    <row r="744" spans="1:9" x14ac:dyDescent="0.3">
      <c r="A744" s="451"/>
      <c r="B744" s="452"/>
      <c r="C744" s="106" t="s">
        <v>378</v>
      </c>
      <c r="D744" s="106">
        <v>2</v>
      </c>
      <c r="E744" s="106">
        <f>1.4+0.95</f>
        <v>2.3499999999999996</v>
      </c>
      <c r="F744" s="106">
        <f>D744*E744</f>
        <v>4.6999999999999993</v>
      </c>
      <c r="G744" s="423">
        <v>1</v>
      </c>
      <c r="H744" s="424"/>
      <c r="I744" s="107">
        <f>F744*G744</f>
        <v>4.6999999999999993</v>
      </c>
    </row>
    <row r="745" spans="1:9" x14ac:dyDescent="0.3">
      <c r="A745" s="451"/>
      <c r="B745" s="452"/>
      <c r="C745" s="106" t="s">
        <v>418</v>
      </c>
      <c r="D745" s="106">
        <v>1.33</v>
      </c>
      <c r="E745" s="106">
        <v>0.25</v>
      </c>
      <c r="F745" s="107">
        <f>D745*E745</f>
        <v>0.33250000000000002</v>
      </c>
      <c r="G745" s="423">
        <v>1</v>
      </c>
      <c r="H745" s="424"/>
      <c r="I745" s="107">
        <f>F745*G745</f>
        <v>0.33250000000000002</v>
      </c>
    </row>
    <row r="746" spans="1:9" ht="16.55" customHeight="1" x14ac:dyDescent="0.3">
      <c r="A746" s="425" t="s">
        <v>1</v>
      </c>
      <c r="B746" s="426"/>
      <c r="C746" s="426"/>
      <c r="D746" s="426"/>
      <c r="E746" s="426"/>
      <c r="F746" s="426"/>
      <c r="G746" s="426"/>
      <c r="H746" s="427"/>
      <c r="I746" s="109">
        <f>SUM(I743:I745)</f>
        <v>18.241499999999998</v>
      </c>
    </row>
    <row r="747" spans="1:9" x14ac:dyDescent="0.3">
      <c r="A747" s="113"/>
      <c r="B747" s="113"/>
      <c r="C747" s="113"/>
      <c r="D747" s="113"/>
      <c r="E747" s="113"/>
      <c r="F747" s="113"/>
      <c r="G747" s="113"/>
      <c r="H747" s="113"/>
      <c r="I747" s="114"/>
    </row>
    <row r="748" spans="1:9" x14ac:dyDescent="0.3">
      <c r="A748" s="428" t="s">
        <v>12</v>
      </c>
      <c r="B748" s="428"/>
      <c r="C748" s="441" t="str">
        <f>VLOOKUP(A749,PRESUPUESTO!$A$14:$G$83,2,)</f>
        <v xml:space="preserve">aplicación de estuco plastico </v>
      </c>
      <c r="D748" s="442"/>
      <c r="E748" s="442"/>
      <c r="F748" s="442"/>
      <c r="G748" s="442"/>
      <c r="H748" s="443"/>
      <c r="I748" s="104" t="s">
        <v>14</v>
      </c>
    </row>
    <row r="749" spans="1:9" x14ac:dyDescent="0.3">
      <c r="A749" s="428">
        <v>6.5</v>
      </c>
      <c r="B749" s="428"/>
      <c r="C749" s="444"/>
      <c r="D749" s="445"/>
      <c r="E749" s="445"/>
      <c r="F749" s="445"/>
      <c r="G749" s="445"/>
      <c r="H749" s="446"/>
      <c r="I749" s="104" t="str">
        <f>VLOOKUP(A749,PRESUPUESTO!$A$14:$G$83,4,)</f>
        <v>M2</v>
      </c>
    </row>
    <row r="750" spans="1:9" x14ac:dyDescent="0.3">
      <c r="A750" s="428" t="s">
        <v>13</v>
      </c>
      <c r="B750" s="428"/>
      <c r="C750" s="428"/>
      <c r="D750" s="104" t="s">
        <v>75</v>
      </c>
      <c r="E750" s="104" t="s">
        <v>76</v>
      </c>
      <c r="F750" s="104" t="s">
        <v>356</v>
      </c>
      <c r="G750" s="435" t="s">
        <v>74</v>
      </c>
      <c r="H750" s="436"/>
      <c r="I750" s="104" t="s">
        <v>1</v>
      </c>
    </row>
    <row r="751" spans="1:9" x14ac:dyDescent="0.3">
      <c r="A751" s="429" t="s">
        <v>379</v>
      </c>
      <c r="B751" s="431"/>
      <c r="C751" s="106" t="s">
        <v>377</v>
      </c>
      <c r="D751" s="106">
        <f>SUM(1.75+1.75+1.82+0.97)</f>
        <v>6.29</v>
      </c>
      <c r="E751" s="106">
        <v>2.1</v>
      </c>
      <c r="F751" s="107">
        <f>D751*E751</f>
        <v>13.209000000000001</v>
      </c>
      <c r="G751" s="423">
        <v>1</v>
      </c>
      <c r="H751" s="424"/>
      <c r="I751" s="107">
        <f>F751*G751</f>
        <v>13.209000000000001</v>
      </c>
    </row>
    <row r="752" spans="1:9" x14ac:dyDescent="0.3">
      <c r="A752" s="451"/>
      <c r="B752" s="452"/>
      <c r="C752" s="106" t="s">
        <v>378</v>
      </c>
      <c r="D752" s="106">
        <v>2</v>
      </c>
      <c r="E752" s="106">
        <f>1.4+0.95</f>
        <v>2.3499999999999996</v>
      </c>
      <c r="F752" s="106">
        <f>D752*E752</f>
        <v>4.6999999999999993</v>
      </c>
      <c r="G752" s="423">
        <v>1</v>
      </c>
      <c r="H752" s="424"/>
      <c r="I752" s="107">
        <f>F752*G752</f>
        <v>4.6999999999999993</v>
      </c>
    </row>
    <row r="753" spans="1:9" x14ac:dyDescent="0.3">
      <c r="A753" s="451"/>
      <c r="B753" s="452"/>
      <c r="C753" s="106" t="s">
        <v>418</v>
      </c>
      <c r="D753" s="106">
        <v>1.33</v>
      </c>
      <c r="E753" s="106">
        <v>0.25</v>
      </c>
      <c r="F753" s="107">
        <f>D753*E753</f>
        <v>0.33250000000000002</v>
      </c>
      <c r="G753" s="423">
        <v>1</v>
      </c>
      <c r="H753" s="424"/>
      <c r="I753" s="107">
        <f>F753*G753</f>
        <v>0.33250000000000002</v>
      </c>
    </row>
    <row r="754" spans="1:9" ht="16.55" customHeight="1" x14ac:dyDescent="0.3">
      <c r="A754" s="425" t="s">
        <v>1</v>
      </c>
      <c r="B754" s="426"/>
      <c r="C754" s="426"/>
      <c r="D754" s="426"/>
      <c r="E754" s="426"/>
      <c r="F754" s="426"/>
      <c r="G754" s="426"/>
      <c r="H754" s="427"/>
      <c r="I754" s="109">
        <f>SUM(I751:I753)</f>
        <v>18.241499999999998</v>
      </c>
    </row>
    <row r="755" spans="1:9" x14ac:dyDescent="0.3">
      <c r="A755" s="113"/>
      <c r="B755" s="113"/>
      <c r="C755" s="113"/>
      <c r="D755" s="113"/>
      <c r="E755" s="113"/>
      <c r="F755" s="113"/>
      <c r="G755" s="113"/>
      <c r="H755" s="113"/>
      <c r="I755" s="114"/>
    </row>
    <row r="756" spans="1:9" x14ac:dyDescent="0.3">
      <c r="A756" s="428" t="s">
        <v>12</v>
      </c>
      <c r="B756" s="428"/>
      <c r="C756" s="441" t="str">
        <f>VLOOKUP(A757,PRESUPUESTO!$A$14:$G$83,2,)</f>
        <v xml:space="preserve">aplicación de pintura en acabado de muros </v>
      </c>
      <c r="D756" s="442"/>
      <c r="E756" s="442"/>
      <c r="F756" s="442"/>
      <c r="G756" s="442"/>
      <c r="H756" s="443"/>
      <c r="I756" s="104" t="s">
        <v>14</v>
      </c>
    </row>
    <row r="757" spans="1:9" x14ac:dyDescent="0.3">
      <c r="A757" s="428">
        <v>6.6</v>
      </c>
      <c r="B757" s="428"/>
      <c r="C757" s="444"/>
      <c r="D757" s="445"/>
      <c r="E757" s="445"/>
      <c r="F757" s="445"/>
      <c r="G757" s="445"/>
      <c r="H757" s="446"/>
      <c r="I757" s="104" t="str">
        <f>VLOOKUP(A757,PRESUPUESTO!$A$14:$G$83,4,)</f>
        <v>M2</v>
      </c>
    </row>
    <row r="758" spans="1:9" x14ac:dyDescent="0.3">
      <c r="A758" s="428" t="s">
        <v>13</v>
      </c>
      <c r="B758" s="428"/>
      <c r="C758" s="428"/>
      <c r="D758" s="104" t="s">
        <v>75</v>
      </c>
      <c r="E758" s="104" t="s">
        <v>76</v>
      </c>
      <c r="F758" s="104" t="s">
        <v>356</v>
      </c>
      <c r="G758" s="435" t="s">
        <v>74</v>
      </c>
      <c r="H758" s="436"/>
      <c r="I758" s="104" t="s">
        <v>1</v>
      </c>
    </row>
    <row r="759" spans="1:9" x14ac:dyDescent="0.3">
      <c r="A759" s="429" t="s">
        <v>379</v>
      </c>
      <c r="B759" s="431"/>
      <c r="C759" s="106" t="s">
        <v>377</v>
      </c>
      <c r="D759" s="106">
        <f>SUM(1.75+1.75+1.82+0.97)</f>
        <v>6.29</v>
      </c>
      <c r="E759" s="106">
        <v>2.1</v>
      </c>
      <c r="F759" s="107">
        <f>D759*E759</f>
        <v>13.209000000000001</v>
      </c>
      <c r="G759" s="423">
        <v>1</v>
      </c>
      <c r="H759" s="424"/>
      <c r="I759" s="107">
        <f>F759*G759</f>
        <v>13.209000000000001</v>
      </c>
    </row>
    <row r="760" spans="1:9" x14ac:dyDescent="0.3">
      <c r="A760" s="451"/>
      <c r="B760" s="452"/>
      <c r="C760" s="106" t="s">
        <v>378</v>
      </c>
      <c r="D760" s="106">
        <v>2</v>
      </c>
      <c r="E760" s="106">
        <f>1.4+0.95</f>
        <v>2.3499999999999996</v>
      </c>
      <c r="F760" s="106">
        <f>D760*E760</f>
        <v>4.6999999999999993</v>
      </c>
      <c r="G760" s="423">
        <v>1</v>
      </c>
      <c r="H760" s="424"/>
      <c r="I760" s="107">
        <f>F760*G760</f>
        <v>4.6999999999999993</v>
      </c>
    </row>
    <row r="761" spans="1:9" x14ac:dyDescent="0.3">
      <c r="A761" s="451"/>
      <c r="B761" s="452"/>
      <c r="C761" s="106" t="s">
        <v>418</v>
      </c>
      <c r="D761" s="106">
        <v>1.33</v>
      </c>
      <c r="E761" s="106">
        <v>0.25</v>
      </c>
      <c r="F761" s="107">
        <f>D761*E761</f>
        <v>0.33250000000000002</v>
      </c>
      <c r="G761" s="423">
        <v>1</v>
      </c>
      <c r="H761" s="424"/>
      <c r="I761" s="107">
        <f>F761*G761</f>
        <v>0.33250000000000002</v>
      </c>
    </row>
    <row r="762" spans="1:9" ht="16.55" customHeight="1" x14ac:dyDescent="0.3">
      <c r="A762" s="425" t="s">
        <v>1</v>
      </c>
      <c r="B762" s="426"/>
      <c r="C762" s="426"/>
      <c r="D762" s="426"/>
      <c r="E762" s="426"/>
      <c r="F762" s="426"/>
      <c r="G762" s="426"/>
      <c r="H762" s="427"/>
      <c r="I762" s="109">
        <f>SUM(I759:I761)</f>
        <v>18.241499999999998</v>
      </c>
    </row>
    <row r="763" spans="1:9" x14ac:dyDescent="0.3">
      <c r="A763" s="113"/>
      <c r="B763" s="113"/>
      <c r="C763" s="113"/>
      <c r="D763" s="113"/>
      <c r="E763" s="113"/>
      <c r="F763" s="113"/>
      <c r="G763" s="113"/>
      <c r="H763" s="113"/>
      <c r="I763" s="114"/>
    </row>
    <row r="764" spans="1:9" x14ac:dyDescent="0.3">
      <c r="A764" s="428" t="s">
        <v>12</v>
      </c>
      <c r="B764" s="428"/>
      <c r="C764" s="441" t="str">
        <f>VLOOKUP(A765,PRESUPUESTO!$A$14:$G$83,2,)</f>
        <v>Instalacion de ceramica antideslizante formato 35X35</v>
      </c>
      <c r="D764" s="442"/>
      <c r="E764" s="442"/>
      <c r="F764" s="442"/>
      <c r="G764" s="442"/>
      <c r="H764" s="443"/>
      <c r="I764" s="104" t="s">
        <v>14</v>
      </c>
    </row>
    <row r="765" spans="1:9" x14ac:dyDescent="0.3">
      <c r="A765" s="428">
        <v>6.7</v>
      </c>
      <c r="B765" s="428"/>
      <c r="C765" s="444"/>
      <c r="D765" s="445"/>
      <c r="E765" s="445"/>
      <c r="F765" s="445"/>
      <c r="G765" s="445"/>
      <c r="H765" s="446"/>
      <c r="I765" s="104" t="str">
        <f>VLOOKUP(A765,PRESUPUESTO!$A$14:$G$83,4,)</f>
        <v>M2</v>
      </c>
    </row>
    <row r="766" spans="1:9" x14ac:dyDescent="0.3">
      <c r="A766" s="428" t="s">
        <v>13</v>
      </c>
      <c r="B766" s="428"/>
      <c r="C766" s="428"/>
      <c r="D766" s="104" t="s">
        <v>75</v>
      </c>
      <c r="E766" s="104" t="s">
        <v>72</v>
      </c>
      <c r="F766" s="104" t="s">
        <v>356</v>
      </c>
      <c r="G766" s="435" t="s">
        <v>74</v>
      </c>
      <c r="H766" s="436"/>
      <c r="I766" s="104" t="s">
        <v>1</v>
      </c>
    </row>
    <row r="767" spans="1:9" x14ac:dyDescent="0.3">
      <c r="A767" s="447" t="s">
        <v>380</v>
      </c>
      <c r="B767" s="448"/>
      <c r="C767" s="106" t="s">
        <v>381</v>
      </c>
      <c r="D767" s="106">
        <v>5.75</v>
      </c>
      <c r="E767" s="106">
        <v>3.35</v>
      </c>
      <c r="F767" s="106">
        <f>D767*E767</f>
        <v>19.262499999999999</v>
      </c>
      <c r="G767" s="423">
        <v>1</v>
      </c>
      <c r="H767" s="424"/>
      <c r="I767" s="107">
        <f>F767*G767</f>
        <v>19.262499999999999</v>
      </c>
    </row>
    <row r="768" spans="1:9" x14ac:dyDescent="0.3">
      <c r="A768" s="449"/>
      <c r="B768" s="450"/>
      <c r="C768" s="106"/>
      <c r="D768" s="106"/>
      <c r="E768" s="106"/>
      <c r="F768" s="106"/>
      <c r="G768" s="423"/>
      <c r="H768" s="424"/>
      <c r="I768" s="107"/>
    </row>
    <row r="769" spans="1:9" ht="16.55" customHeight="1" x14ac:dyDescent="0.3">
      <c r="A769" s="425" t="s">
        <v>1</v>
      </c>
      <c r="B769" s="426"/>
      <c r="C769" s="426"/>
      <c r="D769" s="426"/>
      <c r="E769" s="426"/>
      <c r="F769" s="426"/>
      <c r="G769" s="426"/>
      <c r="H769" s="427"/>
      <c r="I769" s="109">
        <f>SUM(I767:I768)</f>
        <v>19.262499999999999</v>
      </c>
    </row>
    <row r="770" spans="1:9" x14ac:dyDescent="0.3">
      <c r="A770" s="113"/>
      <c r="B770" s="113"/>
      <c r="C770" s="113"/>
      <c r="D770" s="113"/>
      <c r="E770" s="113"/>
      <c r="F770" s="113"/>
      <c r="G770" s="113"/>
      <c r="H770" s="113"/>
      <c r="I770" s="114"/>
    </row>
    <row r="771" spans="1:9" x14ac:dyDescent="0.3">
      <c r="A771" s="428" t="s">
        <v>12</v>
      </c>
      <c r="B771" s="428"/>
      <c r="C771" s="441" t="str">
        <f>VLOOKUP(A772,PRESUPUESTO!$A$14:$G$83,2,)</f>
        <v>Suministro e instalación de cerámica para pared 30x30 cm color blanco (incluye alistado)</v>
      </c>
      <c r="D771" s="442"/>
      <c r="E771" s="442"/>
      <c r="F771" s="442"/>
      <c r="G771" s="442"/>
      <c r="H771" s="443"/>
      <c r="I771" s="104" t="s">
        <v>14</v>
      </c>
    </row>
    <row r="772" spans="1:9" x14ac:dyDescent="0.3">
      <c r="A772" s="428">
        <v>6.8</v>
      </c>
      <c r="B772" s="428"/>
      <c r="C772" s="444"/>
      <c r="D772" s="445"/>
      <c r="E772" s="445"/>
      <c r="F772" s="445"/>
      <c r="G772" s="445"/>
      <c r="H772" s="446"/>
      <c r="I772" s="104" t="str">
        <f>VLOOKUP(A772,PRESUPUESTO!$A$14:$G$83,4,)</f>
        <v>M2</v>
      </c>
    </row>
    <row r="773" spans="1:9" x14ac:dyDescent="0.3">
      <c r="A773" s="428" t="s">
        <v>13</v>
      </c>
      <c r="B773" s="428"/>
      <c r="C773" s="428"/>
      <c r="D773" s="104" t="s">
        <v>75</v>
      </c>
      <c r="E773" s="104" t="s">
        <v>76</v>
      </c>
      <c r="F773" s="104" t="s">
        <v>356</v>
      </c>
      <c r="G773" s="435" t="s">
        <v>74</v>
      </c>
      <c r="H773" s="436"/>
      <c r="I773" s="104" t="s">
        <v>1</v>
      </c>
    </row>
    <row r="774" spans="1:9" x14ac:dyDescent="0.3">
      <c r="A774" s="447" t="s">
        <v>421</v>
      </c>
      <c r="B774" s="448"/>
      <c r="C774" s="106" t="s">
        <v>384</v>
      </c>
      <c r="D774" s="106">
        <f>SUM(1.82+1.75+1.75+1.75+1.75+0.85+2)</f>
        <v>11.67</v>
      </c>
      <c r="E774" s="106">
        <v>1.5</v>
      </c>
      <c r="F774" s="106">
        <f>D774*E774</f>
        <v>17.504999999999999</v>
      </c>
      <c r="G774" s="423">
        <v>1</v>
      </c>
      <c r="H774" s="424"/>
      <c r="I774" s="107">
        <f>F774-G774*H774</f>
        <v>17.504999999999999</v>
      </c>
    </row>
    <row r="775" spans="1:9" x14ac:dyDescent="0.3">
      <c r="A775" s="449"/>
      <c r="B775" s="450"/>
      <c r="C775" s="302" t="s">
        <v>472</v>
      </c>
      <c r="D775" s="106">
        <f>SUM(5.75+5.75+3.35+(3.35-1))</f>
        <v>17.2</v>
      </c>
      <c r="E775" s="106">
        <v>1.5</v>
      </c>
      <c r="F775" s="107">
        <f>D775*E775</f>
        <v>25.799999999999997</v>
      </c>
      <c r="G775" s="423">
        <v>1</v>
      </c>
      <c r="H775" s="424"/>
      <c r="I775" s="107">
        <f>F775*G775</f>
        <v>25.799999999999997</v>
      </c>
    </row>
    <row r="776" spans="1:9" x14ac:dyDescent="0.3">
      <c r="A776" s="425" t="s">
        <v>1</v>
      </c>
      <c r="B776" s="426"/>
      <c r="C776" s="426"/>
      <c r="D776" s="426"/>
      <c r="E776" s="426"/>
      <c r="F776" s="426"/>
      <c r="G776" s="426"/>
      <c r="H776" s="427"/>
      <c r="I776" s="109">
        <f>SUM(I774:I775)</f>
        <v>43.304999999999993</v>
      </c>
    </row>
    <row r="777" spans="1:9" x14ac:dyDescent="0.3">
      <c r="A777" s="113"/>
      <c r="B777" s="113"/>
      <c r="C777" s="113"/>
      <c r="D777" s="113"/>
      <c r="E777" s="113"/>
      <c r="F777" s="113"/>
      <c r="G777" s="113"/>
      <c r="H777" s="113"/>
      <c r="I777" s="114"/>
    </row>
    <row r="778" spans="1:9" x14ac:dyDescent="0.3">
      <c r="A778" s="428" t="s">
        <v>12</v>
      </c>
      <c r="B778" s="428"/>
      <c r="C778" s="441" t="str">
        <f>VLOOKUP(A779,PRESUPUESTO!$A$14:$G$83,2,)</f>
        <v>Guardaescoba ceramica h=7cm</v>
      </c>
      <c r="D778" s="442"/>
      <c r="E778" s="442"/>
      <c r="F778" s="442"/>
      <c r="G778" s="442"/>
      <c r="H778" s="443"/>
      <c r="I778" s="104" t="s">
        <v>14</v>
      </c>
    </row>
    <row r="779" spans="1:9" x14ac:dyDescent="0.3">
      <c r="A779" s="428">
        <v>6.9</v>
      </c>
      <c r="B779" s="428"/>
      <c r="C779" s="444"/>
      <c r="D779" s="445"/>
      <c r="E779" s="445"/>
      <c r="F779" s="445"/>
      <c r="G779" s="445"/>
      <c r="H779" s="446"/>
      <c r="I779" s="104" t="str">
        <f>VLOOKUP(A779,PRESUPUESTO!$A$14:$G$83,4,)</f>
        <v>ML</v>
      </c>
    </row>
    <row r="780" spans="1:9" x14ac:dyDescent="0.3">
      <c r="A780" s="428" t="s">
        <v>13</v>
      </c>
      <c r="B780" s="428"/>
      <c r="C780" s="428"/>
      <c r="D780" s="104" t="s">
        <v>75</v>
      </c>
      <c r="E780" s="104" t="s">
        <v>72</v>
      </c>
      <c r="F780" s="104" t="s">
        <v>356</v>
      </c>
      <c r="G780" s="104" t="s">
        <v>383</v>
      </c>
      <c r="H780" s="299" t="s">
        <v>74</v>
      </c>
      <c r="I780" s="104" t="s">
        <v>1</v>
      </c>
    </row>
    <row r="781" spans="1:9" x14ac:dyDescent="0.3">
      <c r="A781" s="447" t="s">
        <v>380</v>
      </c>
      <c r="B781" s="448"/>
      <c r="C781" s="106" t="s">
        <v>384</v>
      </c>
      <c r="D781" s="106">
        <f>5.75*2</f>
        <v>11.5</v>
      </c>
      <c r="E781" s="106">
        <f>3.35*2</f>
        <v>6.7</v>
      </c>
      <c r="F781" s="106">
        <f>D781*E781</f>
        <v>77.05</v>
      </c>
      <c r="G781" s="106">
        <v>1</v>
      </c>
      <c r="H781" s="106">
        <v>1</v>
      </c>
      <c r="I781" s="107">
        <f>F781-G781*H781</f>
        <v>76.05</v>
      </c>
    </row>
    <row r="782" spans="1:9" ht="16.55" customHeight="1" x14ac:dyDescent="0.3">
      <c r="A782" s="449"/>
      <c r="B782" s="450"/>
      <c r="C782" s="106"/>
      <c r="D782" s="106"/>
      <c r="E782" s="106"/>
      <c r="F782" s="106"/>
      <c r="G782" s="104"/>
      <c r="H782" s="106"/>
      <c r="I782" s="107"/>
    </row>
    <row r="783" spans="1:9" x14ac:dyDescent="0.3">
      <c r="A783" s="425" t="s">
        <v>1</v>
      </c>
      <c r="B783" s="426"/>
      <c r="C783" s="426"/>
      <c r="D783" s="426"/>
      <c r="E783" s="426"/>
      <c r="F783" s="426"/>
      <c r="G783" s="426"/>
      <c r="H783" s="427"/>
      <c r="I783" s="109">
        <f>SUM(I781:I782)</f>
        <v>76.05</v>
      </c>
    </row>
    <row r="784" spans="1:9" ht="15.75" thickBot="1" x14ac:dyDescent="0.35">
      <c r="A784" s="113"/>
      <c r="B784" s="113"/>
      <c r="C784" s="113"/>
      <c r="D784" s="113"/>
      <c r="E784" s="113"/>
      <c r="F784" s="113"/>
      <c r="G784" s="113"/>
      <c r="H784" s="113"/>
      <c r="I784" s="114"/>
    </row>
    <row r="785" spans="1:9" ht="15.75" thickBot="1" x14ac:dyDescent="0.35">
      <c r="A785" s="454" t="str">
        <f>PRESUPUESTO!B72</f>
        <v>CARPINTERIA METALICA</v>
      </c>
      <c r="B785" s="455"/>
      <c r="C785" s="455"/>
      <c r="D785" s="455"/>
      <c r="E785" s="455"/>
      <c r="F785" s="455"/>
      <c r="G785" s="455"/>
      <c r="H785" s="455"/>
      <c r="I785" s="456"/>
    </row>
    <row r="786" spans="1:9" x14ac:dyDescent="0.3">
      <c r="A786" s="113"/>
      <c r="B786" s="113"/>
      <c r="C786" s="113"/>
      <c r="D786" s="113"/>
      <c r="E786" s="113"/>
      <c r="F786" s="113"/>
      <c r="G786" s="113"/>
      <c r="H786" s="113"/>
      <c r="I786" s="114"/>
    </row>
    <row r="787" spans="1:9" x14ac:dyDescent="0.3">
      <c r="A787" s="428" t="s">
        <v>12</v>
      </c>
      <c r="B787" s="428"/>
      <c r="C787" s="441" t="str">
        <f>VLOOKUP(A788,PRESUPUESTO!$A$14:$G$83,2,)</f>
        <v>Puerta de baño en aluminio (1.00x2.10)</v>
      </c>
      <c r="D787" s="442"/>
      <c r="E787" s="442"/>
      <c r="F787" s="442"/>
      <c r="G787" s="442"/>
      <c r="H787" s="443"/>
      <c r="I787" s="104" t="s">
        <v>14</v>
      </c>
    </row>
    <row r="788" spans="1:9" x14ac:dyDescent="0.3">
      <c r="A788" s="428">
        <v>7.2</v>
      </c>
      <c r="B788" s="428"/>
      <c r="C788" s="444"/>
      <c r="D788" s="445"/>
      <c r="E788" s="445"/>
      <c r="F788" s="445"/>
      <c r="G788" s="445"/>
      <c r="H788" s="446"/>
      <c r="I788" s="104" t="str">
        <f>VLOOKUP(A788,PRESUPUESTO!$A$14:$G$83,4,)</f>
        <v>UND</v>
      </c>
    </row>
    <row r="789" spans="1:9" ht="16.55" customHeight="1" x14ac:dyDescent="0.3">
      <c r="A789" s="428" t="s">
        <v>13</v>
      </c>
      <c r="B789" s="428"/>
      <c r="C789" s="428"/>
      <c r="D789" s="104" t="s">
        <v>75</v>
      </c>
      <c r="E789" s="104" t="s">
        <v>72</v>
      </c>
      <c r="F789" s="104" t="s">
        <v>1</v>
      </c>
      <c r="G789" s="435" t="s">
        <v>74</v>
      </c>
      <c r="H789" s="436"/>
      <c r="I789" s="104" t="s">
        <v>1</v>
      </c>
    </row>
    <row r="790" spans="1:9" x14ac:dyDescent="0.3">
      <c r="A790" s="447" t="s">
        <v>416</v>
      </c>
      <c r="B790" s="448"/>
      <c r="C790" s="106" t="s">
        <v>415</v>
      </c>
      <c r="D790" s="106"/>
      <c r="E790" s="106"/>
      <c r="F790" s="107"/>
      <c r="G790" s="423">
        <v>1</v>
      </c>
      <c r="H790" s="424"/>
      <c r="I790" s="107">
        <f>G790</f>
        <v>1</v>
      </c>
    </row>
    <row r="791" spans="1:9" x14ac:dyDescent="0.3">
      <c r="A791" s="449"/>
      <c r="B791" s="450"/>
      <c r="C791" s="106"/>
      <c r="D791" s="106"/>
      <c r="E791" s="106"/>
      <c r="F791" s="106"/>
      <c r="G791" s="423"/>
      <c r="H791" s="424"/>
      <c r="I791" s="107"/>
    </row>
    <row r="792" spans="1:9" x14ac:dyDescent="0.3">
      <c r="A792" s="425" t="s">
        <v>1</v>
      </c>
      <c r="B792" s="426"/>
      <c r="C792" s="426"/>
      <c r="D792" s="426"/>
      <c r="E792" s="426"/>
      <c r="F792" s="426"/>
      <c r="G792" s="426"/>
      <c r="H792" s="427"/>
      <c r="I792" s="109">
        <f>SUM(I790:I791)</f>
        <v>1</v>
      </c>
    </row>
    <row r="793" spans="1:9" x14ac:dyDescent="0.3">
      <c r="A793" s="113"/>
      <c r="B793" s="113"/>
      <c r="C793" s="113"/>
      <c r="D793" s="113"/>
      <c r="E793" s="113"/>
      <c r="F793" s="113"/>
      <c r="G793" s="113"/>
      <c r="H793" s="113"/>
      <c r="I793" s="114"/>
    </row>
    <row r="794" spans="1:9" x14ac:dyDescent="0.3">
      <c r="A794" s="428" t="s">
        <v>12</v>
      </c>
      <c r="B794" s="428"/>
      <c r="C794" s="441" t="str">
        <f>VLOOKUP(A795,PRESUPUESTO!$A$14:$G$83,2,)</f>
        <v>Puerta de baño en aluminio compuesto corrediza  (0.90x2.10)</v>
      </c>
      <c r="D794" s="442"/>
      <c r="E794" s="442"/>
      <c r="F794" s="442"/>
      <c r="G794" s="442"/>
      <c r="H794" s="443"/>
      <c r="I794" s="104" t="s">
        <v>14</v>
      </c>
    </row>
    <row r="795" spans="1:9" x14ac:dyDescent="0.3">
      <c r="A795" s="428">
        <v>7.3</v>
      </c>
      <c r="B795" s="428"/>
      <c r="C795" s="444"/>
      <c r="D795" s="445"/>
      <c r="E795" s="445"/>
      <c r="F795" s="445"/>
      <c r="G795" s="445"/>
      <c r="H795" s="446"/>
      <c r="I795" s="104" t="str">
        <f>VLOOKUP(A795,PRESUPUESTO!$A$14:$G$83,4,)</f>
        <v>UND</v>
      </c>
    </row>
    <row r="796" spans="1:9" x14ac:dyDescent="0.3">
      <c r="A796" s="428" t="s">
        <v>13</v>
      </c>
      <c r="B796" s="428"/>
      <c r="C796" s="428"/>
      <c r="D796" s="104" t="s">
        <v>75</v>
      </c>
      <c r="E796" s="104" t="s">
        <v>72</v>
      </c>
      <c r="F796" s="104" t="s">
        <v>1</v>
      </c>
      <c r="G796" s="435" t="s">
        <v>74</v>
      </c>
      <c r="H796" s="436"/>
      <c r="I796" s="104" t="s">
        <v>1</v>
      </c>
    </row>
    <row r="797" spans="1:9" x14ac:dyDescent="0.3">
      <c r="A797" s="447" t="s">
        <v>416</v>
      </c>
      <c r="B797" s="448"/>
      <c r="C797" s="106" t="s">
        <v>387</v>
      </c>
      <c r="D797" s="106"/>
      <c r="E797" s="106"/>
      <c r="F797" s="107"/>
      <c r="G797" s="423">
        <v>2</v>
      </c>
      <c r="H797" s="424"/>
      <c r="I797" s="107">
        <f>G797</f>
        <v>2</v>
      </c>
    </row>
    <row r="798" spans="1:9" x14ac:dyDescent="0.3">
      <c r="A798" s="449"/>
      <c r="B798" s="450"/>
      <c r="C798" s="106"/>
      <c r="D798" s="106"/>
      <c r="E798" s="106"/>
      <c r="F798" s="106"/>
      <c r="G798" s="423"/>
      <c r="H798" s="424"/>
      <c r="I798" s="107"/>
    </row>
    <row r="799" spans="1:9" x14ac:dyDescent="0.3">
      <c r="A799" s="425" t="s">
        <v>1</v>
      </c>
      <c r="B799" s="426"/>
      <c r="C799" s="426"/>
      <c r="D799" s="426"/>
      <c r="E799" s="426"/>
      <c r="F799" s="426"/>
      <c r="G799" s="426"/>
      <c r="H799" s="427"/>
      <c r="I799" s="109">
        <f>SUM(I797:I798)</f>
        <v>2</v>
      </c>
    </row>
    <row r="800" spans="1:9" x14ac:dyDescent="0.3">
      <c r="A800" s="113"/>
      <c r="B800" s="113"/>
      <c r="C800" s="113"/>
      <c r="D800" s="113"/>
      <c r="E800" s="113"/>
      <c r="F800" s="113"/>
      <c r="G800" s="113"/>
      <c r="H800" s="113"/>
      <c r="I800" s="114"/>
    </row>
    <row r="801" spans="1:9" x14ac:dyDescent="0.3">
      <c r="A801" s="428" t="s">
        <v>12</v>
      </c>
      <c r="B801" s="428"/>
      <c r="C801" s="441" t="str">
        <f>VLOOKUP(A802,PRESUPUESTO!$A$14:$G$83,2,)</f>
        <v>Ventana en aluminio tipo persiana (1.20x0.50)</v>
      </c>
      <c r="D801" s="442"/>
      <c r="E801" s="442"/>
      <c r="F801" s="442"/>
      <c r="G801" s="442"/>
      <c r="H801" s="443"/>
      <c r="I801" s="104" t="s">
        <v>14</v>
      </c>
    </row>
    <row r="802" spans="1:9" x14ac:dyDescent="0.3">
      <c r="A802" s="428">
        <v>7.5</v>
      </c>
      <c r="B802" s="428"/>
      <c r="C802" s="444"/>
      <c r="D802" s="445"/>
      <c r="E802" s="445"/>
      <c r="F802" s="445"/>
      <c r="G802" s="445"/>
      <c r="H802" s="446"/>
      <c r="I802" s="104" t="str">
        <f>VLOOKUP(A802,PRESUPUESTO!$A$14:$G$83,4,)</f>
        <v>UND</v>
      </c>
    </row>
    <row r="803" spans="1:9" x14ac:dyDescent="0.3">
      <c r="A803" s="428" t="s">
        <v>13</v>
      </c>
      <c r="B803" s="428"/>
      <c r="C803" s="428"/>
      <c r="D803" s="104" t="s">
        <v>75</v>
      </c>
      <c r="E803" s="104" t="s">
        <v>72</v>
      </c>
      <c r="F803" s="104" t="s">
        <v>1</v>
      </c>
      <c r="G803" s="435" t="s">
        <v>74</v>
      </c>
      <c r="H803" s="436"/>
      <c r="I803" s="104" t="s">
        <v>1</v>
      </c>
    </row>
    <row r="804" spans="1:9" x14ac:dyDescent="0.3">
      <c r="A804" s="447" t="s">
        <v>416</v>
      </c>
      <c r="B804" s="448"/>
      <c r="C804" s="106" t="s">
        <v>414</v>
      </c>
      <c r="D804" s="106"/>
      <c r="E804" s="106"/>
      <c r="F804" s="107"/>
      <c r="G804" s="423">
        <v>1</v>
      </c>
      <c r="H804" s="424"/>
      <c r="I804" s="107">
        <f>G804</f>
        <v>1</v>
      </c>
    </row>
    <row r="805" spans="1:9" x14ac:dyDescent="0.3">
      <c r="A805" s="449"/>
      <c r="B805" s="450"/>
      <c r="C805" s="106"/>
      <c r="D805" s="106"/>
      <c r="E805" s="106"/>
      <c r="F805" s="106"/>
      <c r="G805" s="423"/>
      <c r="H805" s="424"/>
      <c r="I805" s="107"/>
    </row>
    <row r="806" spans="1:9" x14ac:dyDescent="0.3">
      <c r="A806" s="425" t="s">
        <v>1</v>
      </c>
      <c r="B806" s="426"/>
      <c r="C806" s="426"/>
      <c r="D806" s="426"/>
      <c r="E806" s="426"/>
      <c r="F806" s="426"/>
      <c r="G806" s="426"/>
      <c r="H806" s="427"/>
      <c r="I806" s="109">
        <f>SUM(I804:I805)</f>
        <v>1</v>
      </c>
    </row>
    <row r="807" spans="1:9" x14ac:dyDescent="0.3">
      <c r="A807" s="113"/>
      <c r="B807" s="113"/>
      <c r="C807" s="113"/>
      <c r="D807" s="113"/>
      <c r="E807" s="113"/>
      <c r="F807" s="113"/>
      <c r="G807" s="113"/>
      <c r="H807" s="113"/>
      <c r="I807" s="114"/>
    </row>
    <row r="808" spans="1:9" x14ac:dyDescent="0.3">
      <c r="A808" s="428" t="s">
        <v>12</v>
      </c>
      <c r="B808" s="428"/>
      <c r="C808" s="441" t="str">
        <f>VLOOKUP(A809,PRESUPUESTO!$A$14:$G$83,2,)</f>
        <v>Suministro e instalación de pasamanos en acero inoxidable AISI 304 con postes anclados a losa</v>
      </c>
      <c r="D808" s="442"/>
      <c r="E808" s="442"/>
      <c r="F808" s="442"/>
      <c r="G808" s="442"/>
      <c r="H808" s="443"/>
      <c r="I808" s="104" t="s">
        <v>14</v>
      </c>
    </row>
    <row r="809" spans="1:9" x14ac:dyDescent="0.3">
      <c r="A809" s="428">
        <v>7.7</v>
      </c>
      <c r="B809" s="428"/>
      <c r="C809" s="444"/>
      <c r="D809" s="445"/>
      <c r="E809" s="445"/>
      <c r="F809" s="445"/>
      <c r="G809" s="445"/>
      <c r="H809" s="446"/>
      <c r="I809" s="104" t="str">
        <f>VLOOKUP(A809,PRESUPUESTO!$A$14:$G$83,4,)</f>
        <v>ML</v>
      </c>
    </row>
    <row r="810" spans="1:9" x14ac:dyDescent="0.3">
      <c r="A810" s="428" t="s">
        <v>13</v>
      </c>
      <c r="B810" s="428"/>
      <c r="C810" s="428"/>
      <c r="D810" s="104" t="s">
        <v>75</v>
      </c>
      <c r="E810" s="104" t="s">
        <v>72</v>
      </c>
      <c r="F810" s="104" t="s">
        <v>356</v>
      </c>
      <c r="G810" s="435" t="s">
        <v>74</v>
      </c>
      <c r="H810" s="436"/>
      <c r="I810" s="104" t="s">
        <v>1</v>
      </c>
    </row>
    <row r="811" spans="1:9" x14ac:dyDescent="0.3">
      <c r="A811" s="447" t="s">
        <v>404</v>
      </c>
      <c r="B811" s="448"/>
      <c r="C811" s="106" t="s">
        <v>395</v>
      </c>
      <c r="D811" s="106">
        <v>17</v>
      </c>
      <c r="E811" s="106"/>
      <c r="F811" s="106"/>
      <c r="G811" s="423">
        <v>1</v>
      </c>
      <c r="H811" s="424"/>
      <c r="I811" s="107">
        <f>D811*G811</f>
        <v>17</v>
      </c>
    </row>
    <row r="812" spans="1:9" x14ac:dyDescent="0.3">
      <c r="A812" s="449"/>
      <c r="B812" s="450"/>
      <c r="C812" s="106" t="s">
        <v>396</v>
      </c>
      <c r="D812" s="106">
        <v>12</v>
      </c>
      <c r="E812" s="106"/>
      <c r="F812" s="106"/>
      <c r="G812" s="423">
        <v>1</v>
      </c>
      <c r="H812" s="424"/>
      <c r="I812" s="107">
        <f>D812*G812</f>
        <v>12</v>
      </c>
    </row>
    <row r="813" spans="1:9" x14ac:dyDescent="0.3">
      <c r="A813" s="353"/>
      <c r="B813" s="105"/>
      <c r="C813" s="106" t="s">
        <v>622</v>
      </c>
      <c r="D813" s="106">
        <f>14.65+5.09</f>
        <v>19.740000000000002</v>
      </c>
      <c r="E813" s="106"/>
      <c r="F813" s="106"/>
      <c r="G813" s="423">
        <v>1</v>
      </c>
      <c r="H813" s="424"/>
      <c r="I813" s="107">
        <f>D813*G813</f>
        <v>19.740000000000002</v>
      </c>
    </row>
    <row r="814" spans="1:9" x14ac:dyDescent="0.3">
      <c r="A814" s="425" t="s">
        <v>1</v>
      </c>
      <c r="B814" s="426"/>
      <c r="C814" s="426"/>
      <c r="D814" s="426"/>
      <c r="E814" s="426"/>
      <c r="F814" s="426"/>
      <c r="G814" s="426"/>
      <c r="H814" s="427"/>
      <c r="I814" s="109">
        <f>SUM(I811:I813)</f>
        <v>48.74</v>
      </c>
    </row>
    <row r="815" spans="1:9" x14ac:dyDescent="0.3">
      <c r="A815" s="113"/>
      <c r="B815" s="113"/>
      <c r="C815" s="113"/>
      <c r="D815" s="113"/>
      <c r="E815" s="113"/>
      <c r="F815" s="113"/>
      <c r="G815" s="113"/>
      <c r="H815" s="113"/>
      <c r="I815" s="114"/>
    </row>
    <row r="816" spans="1:9" x14ac:dyDescent="0.3">
      <c r="A816" s="428" t="s">
        <v>12</v>
      </c>
      <c r="B816" s="428"/>
      <c r="C816" s="441" t="str">
        <f>VLOOKUP(A817,PRESUPUESTO!$A$14:$G$83,2,)</f>
        <v>Suministro e instalación de pasamanos en acero inoxidable AISI 304con anclaje lateral a muro</v>
      </c>
      <c r="D816" s="442"/>
      <c r="E816" s="442"/>
      <c r="F816" s="442"/>
      <c r="G816" s="442"/>
      <c r="H816" s="443"/>
      <c r="I816" s="104" t="s">
        <v>14</v>
      </c>
    </row>
    <row r="817" spans="1:9" x14ac:dyDescent="0.3">
      <c r="A817" s="428">
        <v>7.8</v>
      </c>
      <c r="B817" s="428"/>
      <c r="C817" s="444"/>
      <c r="D817" s="445"/>
      <c r="E817" s="445"/>
      <c r="F817" s="445"/>
      <c r="G817" s="445"/>
      <c r="H817" s="446"/>
      <c r="I817" s="104" t="str">
        <f>VLOOKUP(A817,PRESUPUESTO!$A$14:$G$83,4,)</f>
        <v>ML</v>
      </c>
    </row>
    <row r="818" spans="1:9" x14ac:dyDescent="0.3">
      <c r="A818" s="428" t="s">
        <v>13</v>
      </c>
      <c r="B818" s="428"/>
      <c r="C818" s="428"/>
      <c r="D818" s="104" t="s">
        <v>75</v>
      </c>
      <c r="E818" s="104" t="s">
        <v>72</v>
      </c>
      <c r="F818" s="104" t="s">
        <v>1</v>
      </c>
      <c r="G818" s="435" t="s">
        <v>74</v>
      </c>
      <c r="H818" s="436"/>
      <c r="I818" s="104" t="s">
        <v>1</v>
      </c>
    </row>
    <row r="819" spans="1:9" x14ac:dyDescent="0.3">
      <c r="A819" s="447" t="s">
        <v>404</v>
      </c>
      <c r="B819" s="461"/>
      <c r="C819" s="106" t="s">
        <v>395</v>
      </c>
      <c r="D819" s="106">
        <f>SUM(5.85+2.2)</f>
        <v>8.0500000000000007</v>
      </c>
      <c r="E819" s="106"/>
      <c r="F819" s="106"/>
      <c r="G819" s="423">
        <v>1</v>
      </c>
      <c r="H819" s="424"/>
      <c r="I819" s="107">
        <f>D819*G819</f>
        <v>8.0500000000000007</v>
      </c>
    </row>
    <row r="820" spans="1:9" x14ac:dyDescent="0.3">
      <c r="A820" s="449"/>
      <c r="B820" s="462"/>
      <c r="C820" s="106" t="s">
        <v>396</v>
      </c>
      <c r="D820" s="106">
        <v>9</v>
      </c>
      <c r="E820" s="106"/>
      <c r="F820" s="106"/>
      <c r="G820" s="423">
        <v>1</v>
      </c>
      <c r="H820" s="424"/>
      <c r="I820" s="107">
        <f>D820*G820</f>
        <v>9</v>
      </c>
    </row>
    <row r="821" spans="1:9" x14ac:dyDescent="0.3">
      <c r="A821" s="463"/>
      <c r="B821" s="464"/>
      <c r="C821" s="106" t="s">
        <v>397</v>
      </c>
      <c r="D821" s="106">
        <f>SUM(5.8+1)</f>
        <v>6.8</v>
      </c>
      <c r="E821" s="106"/>
      <c r="F821" s="106"/>
      <c r="G821" s="423">
        <v>1</v>
      </c>
      <c r="H821" s="424"/>
      <c r="I821" s="107">
        <f>D821*G821</f>
        <v>6.8</v>
      </c>
    </row>
    <row r="822" spans="1:9" x14ac:dyDescent="0.3">
      <c r="A822" s="425" t="s">
        <v>1</v>
      </c>
      <c r="B822" s="426"/>
      <c r="C822" s="426"/>
      <c r="D822" s="426"/>
      <c r="E822" s="426"/>
      <c r="F822" s="426"/>
      <c r="G822" s="426"/>
      <c r="H822" s="427"/>
      <c r="I822" s="109">
        <f>SUM(I819:I821)</f>
        <v>23.85</v>
      </c>
    </row>
    <row r="823" spans="1:9" x14ac:dyDescent="0.3">
      <c r="A823" s="113"/>
      <c r="B823" s="113"/>
      <c r="C823" s="113"/>
      <c r="D823" s="113"/>
      <c r="E823" s="113"/>
      <c r="F823" s="113"/>
      <c r="G823" s="113"/>
      <c r="H823" s="113"/>
      <c r="I823" s="114"/>
    </row>
    <row r="824" spans="1:9" ht="15.75" thickBot="1" x14ac:dyDescent="0.35">
      <c r="A824" s="113"/>
      <c r="B824" s="113"/>
      <c r="C824" s="113"/>
      <c r="D824" s="113"/>
      <c r="E824" s="113"/>
      <c r="F824" s="113"/>
      <c r="G824" s="113"/>
      <c r="H824" s="113"/>
      <c r="I824" s="114"/>
    </row>
    <row r="825" spans="1:9" ht="15.75" thickBot="1" x14ac:dyDescent="0.35">
      <c r="A825" s="509" t="s">
        <v>434</v>
      </c>
      <c r="B825" s="455"/>
      <c r="C825" s="455"/>
      <c r="D825" s="455"/>
      <c r="E825" s="455"/>
      <c r="F825" s="455"/>
      <c r="G825" s="455"/>
      <c r="H825" s="455"/>
      <c r="I825" s="456"/>
    </row>
    <row r="826" spans="1:9" x14ac:dyDescent="0.3">
      <c r="A826" s="113"/>
      <c r="B826" s="113"/>
      <c r="C826" s="113"/>
      <c r="D826" s="113"/>
      <c r="E826" s="113"/>
      <c r="F826" s="113"/>
      <c r="G826" s="113"/>
      <c r="H826" s="113"/>
      <c r="I826" s="114"/>
    </row>
    <row r="827" spans="1:9" x14ac:dyDescent="0.3">
      <c r="A827" s="428" t="s">
        <v>12</v>
      </c>
      <c r="B827" s="428"/>
      <c r="C827" s="441" t="str">
        <f>VLOOKUP(A828,PRESUPUESTO!$A$14:$G$83,2,)</f>
        <v>Suministro y construcción de bordillo en mampostería estructural de ladrillo a la vista, h=0,50 m, con alfajía en concreto reforzado fundido en sitio</v>
      </c>
      <c r="D827" s="442"/>
      <c r="E827" s="442"/>
      <c r="F827" s="442"/>
      <c r="G827" s="442"/>
      <c r="H827" s="443"/>
      <c r="I827" s="104" t="s">
        <v>14</v>
      </c>
    </row>
    <row r="828" spans="1:9" x14ac:dyDescent="0.3">
      <c r="A828" s="428">
        <v>6.3</v>
      </c>
      <c r="B828" s="428"/>
      <c r="C828" s="444"/>
      <c r="D828" s="445"/>
      <c r="E828" s="445"/>
      <c r="F828" s="445"/>
      <c r="G828" s="445"/>
      <c r="H828" s="446"/>
      <c r="I828" s="104" t="str">
        <f>VLOOKUP(A828,PRESUPUESTO!$A$14:$G$83,4,)</f>
        <v>ML</v>
      </c>
    </row>
    <row r="829" spans="1:9" x14ac:dyDescent="0.3">
      <c r="A829" s="428" t="s">
        <v>13</v>
      </c>
      <c r="B829" s="428"/>
      <c r="C829" s="428"/>
      <c r="D829" s="104" t="s">
        <v>75</v>
      </c>
      <c r="E829" s="104" t="s">
        <v>76</v>
      </c>
      <c r="F829" s="104" t="s">
        <v>356</v>
      </c>
      <c r="G829" s="435" t="s">
        <v>74</v>
      </c>
      <c r="H829" s="436"/>
      <c r="I829" s="104" t="s">
        <v>1</v>
      </c>
    </row>
    <row r="830" spans="1:9" x14ac:dyDescent="0.3">
      <c r="A830" s="447" t="s">
        <v>353</v>
      </c>
      <c r="B830" s="448"/>
      <c r="C830" s="106" t="s">
        <v>447</v>
      </c>
      <c r="D830" s="106">
        <f>+SUM(5+5)</f>
        <v>10</v>
      </c>
      <c r="E830" s="106">
        <v>0.5</v>
      </c>
      <c r="F830" s="106">
        <f>D830</f>
        <v>10</v>
      </c>
      <c r="G830" s="423">
        <v>1</v>
      </c>
      <c r="H830" s="424"/>
      <c r="I830" s="107">
        <f>F830*G830</f>
        <v>10</v>
      </c>
    </row>
    <row r="831" spans="1:9" x14ac:dyDescent="0.3">
      <c r="A831" s="449"/>
      <c r="B831" s="450"/>
      <c r="C831" s="106"/>
      <c r="D831" s="106"/>
      <c r="E831" s="106"/>
      <c r="F831" s="106"/>
      <c r="G831" s="423"/>
      <c r="H831" s="424"/>
      <c r="I831" s="107">
        <f t="shared" ref="I831" si="53">F831-G831-H831</f>
        <v>0</v>
      </c>
    </row>
    <row r="832" spans="1:9" x14ac:dyDescent="0.3">
      <c r="A832" s="425" t="s">
        <v>1</v>
      </c>
      <c r="B832" s="426"/>
      <c r="C832" s="426"/>
      <c r="D832" s="426"/>
      <c r="E832" s="426"/>
      <c r="F832" s="426"/>
      <c r="G832" s="426"/>
      <c r="H832" s="427"/>
      <c r="I832" s="109">
        <f>SUM(I830:I831)</f>
        <v>10</v>
      </c>
    </row>
    <row r="833" spans="1:14" x14ac:dyDescent="0.3">
      <c r="A833" s="113"/>
      <c r="B833" s="113"/>
      <c r="C833" s="113"/>
      <c r="D833" s="113"/>
      <c r="E833" s="113"/>
      <c r="F833" s="113"/>
      <c r="G833" s="113"/>
      <c r="H833" s="113"/>
      <c r="I833" s="114"/>
    </row>
    <row r="834" spans="1:14" x14ac:dyDescent="0.3">
      <c r="A834" s="428" t="s">
        <v>12</v>
      </c>
      <c r="B834" s="428"/>
      <c r="C834" s="441" t="s">
        <v>435</v>
      </c>
      <c r="D834" s="442"/>
      <c r="E834" s="442"/>
      <c r="F834" s="442"/>
      <c r="G834" s="442"/>
      <c r="H834" s="443"/>
      <c r="I834" s="104" t="s">
        <v>14</v>
      </c>
    </row>
    <row r="835" spans="1:14" x14ac:dyDescent="0.3">
      <c r="A835" s="437">
        <f>PRESUPUESTO!A48</f>
        <v>4.12</v>
      </c>
      <c r="B835" s="428"/>
      <c r="C835" s="444"/>
      <c r="D835" s="445"/>
      <c r="E835" s="445"/>
      <c r="F835" s="445"/>
      <c r="G835" s="445"/>
      <c r="H835" s="446"/>
      <c r="I835" s="104" t="str">
        <f>VLOOKUP(A835,PRESUPUESTO!$A$14:$G$83,4,)</f>
        <v>ML</v>
      </c>
    </row>
    <row r="836" spans="1:14" ht="17.2" customHeight="1" x14ac:dyDescent="0.3">
      <c r="A836" s="428" t="s">
        <v>13</v>
      </c>
      <c r="B836" s="428"/>
      <c r="C836" s="428"/>
      <c r="D836" s="104" t="s">
        <v>75</v>
      </c>
      <c r="E836" s="104" t="s">
        <v>72</v>
      </c>
      <c r="F836" s="104" t="s">
        <v>356</v>
      </c>
      <c r="G836" s="435" t="s">
        <v>74</v>
      </c>
      <c r="H836" s="436"/>
      <c r="I836" s="104" t="s">
        <v>1</v>
      </c>
    </row>
    <row r="837" spans="1:14" x14ac:dyDescent="0.3">
      <c r="A837" s="447" t="s">
        <v>353</v>
      </c>
      <c r="B837" s="448"/>
      <c r="C837" s="106" t="s">
        <v>437</v>
      </c>
      <c r="D837" s="106">
        <v>30</v>
      </c>
      <c r="E837" s="106"/>
      <c r="F837" s="106"/>
      <c r="G837" s="423"/>
      <c r="H837" s="424"/>
      <c r="I837" s="107">
        <f>D837</f>
        <v>30</v>
      </c>
    </row>
    <row r="838" spans="1:14" x14ac:dyDescent="0.3">
      <c r="A838" s="449"/>
      <c r="B838" s="450"/>
      <c r="C838" s="106"/>
      <c r="D838" s="106"/>
      <c r="E838" s="106"/>
      <c r="F838" s="106"/>
      <c r="G838" s="423"/>
      <c r="H838" s="424"/>
      <c r="I838" s="107"/>
      <c r="K838" s="325" t="s">
        <v>440</v>
      </c>
      <c r="L838" s="325" t="s">
        <v>441</v>
      </c>
      <c r="M838" s="325" t="s">
        <v>439</v>
      </c>
      <c r="N838" s="22"/>
    </row>
    <row r="839" spans="1:14" x14ac:dyDescent="0.3">
      <c r="A839" s="425" t="s">
        <v>1</v>
      </c>
      <c r="B839" s="426"/>
      <c r="C839" s="426"/>
      <c r="D839" s="426"/>
      <c r="E839" s="426"/>
      <c r="F839" s="426"/>
      <c r="G839" s="426"/>
      <c r="H839" s="427"/>
      <c r="I839" s="109">
        <f>SUM(I837:I838)</f>
        <v>30</v>
      </c>
      <c r="K839" s="107">
        <v>15.337</v>
      </c>
      <c r="L839" s="107">
        <v>71.475999999999999</v>
      </c>
      <c r="M839" s="307">
        <f>K839+L839</f>
        <v>86.813000000000002</v>
      </c>
      <c r="N839" s="308">
        <f>M839-I844</f>
        <v>-41.716999999999999</v>
      </c>
    </row>
    <row r="840" spans="1:14" x14ac:dyDescent="0.3">
      <c r="A840" s="113"/>
      <c r="B840" s="113"/>
      <c r="C840" s="113"/>
      <c r="D840" s="113"/>
      <c r="E840" s="113"/>
      <c r="F840" s="113"/>
      <c r="G840" s="113"/>
      <c r="H840" s="113"/>
      <c r="I840" s="114"/>
      <c r="K840" s="309">
        <v>26.619</v>
      </c>
      <c r="L840" s="309">
        <v>39.040999999999997</v>
      </c>
      <c r="M840" s="307">
        <f>K840+L840</f>
        <v>65.66</v>
      </c>
      <c r="N840" s="308">
        <f>M840-I845</f>
        <v>-52.52000000000001</v>
      </c>
    </row>
    <row r="841" spans="1:14" x14ac:dyDescent="0.3">
      <c r="A841" s="428" t="s">
        <v>12</v>
      </c>
      <c r="B841" s="428"/>
      <c r="C841" s="441" t="str">
        <f>VLOOKUP(A842,PRESUPUESTO!$A$14:$G$83,2,)</f>
        <v xml:space="preserve">aplicación de pintura en acabado de muros </v>
      </c>
      <c r="D841" s="442"/>
      <c r="E841" s="442"/>
      <c r="F841" s="442"/>
      <c r="G841" s="442"/>
      <c r="H841" s="443"/>
      <c r="I841" s="104" t="s">
        <v>14</v>
      </c>
      <c r="K841" s="309">
        <v>34.232999999999997</v>
      </c>
      <c r="L841" s="309">
        <v>50.936</v>
      </c>
      <c r="M841" s="307">
        <f>K841+L841</f>
        <v>85.168999999999997</v>
      </c>
      <c r="N841" s="308">
        <f>M841-I846</f>
        <v>-59.511399999999995</v>
      </c>
    </row>
    <row r="842" spans="1:14" x14ac:dyDescent="0.3">
      <c r="A842" s="428">
        <f>PRESUPUESTO!A67</f>
        <v>6.6</v>
      </c>
      <c r="B842" s="428"/>
      <c r="C842" s="444"/>
      <c r="D842" s="445"/>
      <c r="E842" s="445"/>
      <c r="F842" s="445"/>
      <c r="G842" s="445"/>
      <c r="H842" s="446"/>
      <c r="I842" s="104" t="s">
        <v>178</v>
      </c>
      <c r="K842" s="309">
        <v>90.876999999999995</v>
      </c>
      <c r="L842" s="309">
        <v>217.154</v>
      </c>
      <c r="M842" s="307">
        <f>K842+L842</f>
        <v>308.03100000000001</v>
      </c>
      <c r="N842" s="308">
        <f>M842-I847</f>
        <v>143.93100000000001</v>
      </c>
    </row>
    <row r="843" spans="1:14" x14ac:dyDescent="0.3">
      <c r="A843" s="435" t="s">
        <v>13</v>
      </c>
      <c r="B843" s="436"/>
      <c r="C843" s="104" t="s">
        <v>75</v>
      </c>
      <c r="D843" s="104" t="s">
        <v>76</v>
      </c>
      <c r="E843" s="104" t="s">
        <v>356</v>
      </c>
      <c r="F843" s="104" t="s">
        <v>357</v>
      </c>
      <c r="G843" s="276" t="s">
        <v>358</v>
      </c>
      <c r="H843" s="276" t="s">
        <v>74</v>
      </c>
      <c r="I843" s="104" t="s">
        <v>1</v>
      </c>
      <c r="K843" s="308">
        <f>SUM(K839:K842)</f>
        <v>167.06599999999997</v>
      </c>
      <c r="L843" s="308">
        <f>SUM(L839:L842)</f>
        <v>378.60699999999997</v>
      </c>
      <c r="M843" s="308">
        <f>SUM(M839:M842)</f>
        <v>545.673</v>
      </c>
      <c r="N843" s="277">
        <f>SUM(N839:N842)</f>
        <v>-9.8173999999999921</v>
      </c>
    </row>
    <row r="844" spans="1:14" x14ac:dyDescent="0.3">
      <c r="A844" s="438" t="s">
        <v>353</v>
      </c>
      <c r="B844" s="106" t="s">
        <v>354</v>
      </c>
      <c r="C844" s="106">
        <v>16.8</v>
      </c>
      <c r="D844" s="106">
        <v>4.2</v>
      </c>
      <c r="E844" s="107">
        <f>C844*D844</f>
        <v>70.56</v>
      </c>
      <c r="F844" s="107">
        <f>2.5*1</f>
        <v>2.5</v>
      </c>
      <c r="G844" s="107">
        <f>+(1.73*1.5)+(1.2*0.5)+(1.2*0.5)</f>
        <v>3.7949999999999999</v>
      </c>
      <c r="H844" s="309">
        <v>2</v>
      </c>
      <c r="I844" s="107">
        <f>(E844-F844-G844)*H844</f>
        <v>128.53</v>
      </c>
      <c r="M844" s="308">
        <f>SUM(K843+L843)</f>
        <v>545.673</v>
      </c>
    </row>
    <row r="845" spans="1:14" ht="16.55" customHeight="1" x14ac:dyDescent="0.3">
      <c r="A845" s="439"/>
      <c r="B845" s="106" t="s">
        <v>355</v>
      </c>
      <c r="C845" s="106">
        <v>16.8</v>
      </c>
      <c r="D845" s="106">
        <v>4.2</v>
      </c>
      <c r="E845" s="107">
        <f>C845*D845</f>
        <v>70.56</v>
      </c>
      <c r="F845" s="107">
        <f>+(1*2.5)</f>
        <v>2.5</v>
      </c>
      <c r="G845" s="107">
        <f>+(2.9*1.5)+((0.6*0.5)*3)+(2.48*1.5)</f>
        <v>8.9699999999999989</v>
      </c>
      <c r="H845" s="309">
        <v>2</v>
      </c>
      <c r="I845" s="107">
        <f t="shared" ref="I845:I847" si="54">(E845-F845-G845)*H845</f>
        <v>118.18</v>
      </c>
      <c r="M845" s="277">
        <f>M844-I848</f>
        <v>-9.8174000000000206</v>
      </c>
    </row>
    <row r="846" spans="1:14" x14ac:dyDescent="0.3">
      <c r="A846" s="439"/>
      <c r="B846" s="106" t="s">
        <v>359</v>
      </c>
      <c r="C846" s="106">
        <f>+(9.87+12.88)</f>
        <v>22.75</v>
      </c>
      <c r="D846" s="106">
        <v>4.2</v>
      </c>
      <c r="E846" s="107">
        <f>C846*D846</f>
        <v>95.55</v>
      </c>
      <c r="F846" s="107">
        <f>+(2.13*2.5)</f>
        <v>5.3249999999999993</v>
      </c>
      <c r="G846" s="107">
        <f>+(2.37*1.5)+(2.43*1.5)+(1.61*1.68)+(2*1.5)+(3.32*1.5)</f>
        <v>17.884800000000002</v>
      </c>
      <c r="H846" s="309">
        <v>2</v>
      </c>
      <c r="I846" s="107">
        <f t="shared" si="54"/>
        <v>144.68039999999999</v>
      </c>
    </row>
    <row r="847" spans="1:14" x14ac:dyDescent="0.3">
      <c r="A847" s="440"/>
      <c r="B847" s="106" t="s">
        <v>354</v>
      </c>
      <c r="C847" s="106">
        <f>+(9.87+12.88)</f>
        <v>22.75</v>
      </c>
      <c r="D847" s="106">
        <v>4.2</v>
      </c>
      <c r="E847" s="107">
        <f>C847*D847</f>
        <v>95.55</v>
      </c>
      <c r="F847" s="107">
        <f>1*2.1</f>
        <v>2.1</v>
      </c>
      <c r="G847" s="107">
        <f>+(1.9*0.5)+(2.7*1.5)+(3.6*1.5)+(2*0.5)</f>
        <v>11.400000000000002</v>
      </c>
      <c r="H847" s="309">
        <v>2</v>
      </c>
      <c r="I847" s="107">
        <f t="shared" si="54"/>
        <v>164.1</v>
      </c>
    </row>
    <row r="848" spans="1:14" x14ac:dyDescent="0.3">
      <c r="A848" s="425" t="s">
        <v>1</v>
      </c>
      <c r="B848" s="426"/>
      <c r="C848" s="426"/>
      <c r="D848" s="426"/>
      <c r="E848" s="426"/>
      <c r="F848" s="426"/>
      <c r="G848" s="426"/>
      <c r="H848" s="427"/>
      <c r="I848" s="109">
        <f>SUM(I844:I847)</f>
        <v>555.49040000000002</v>
      </c>
    </row>
    <row r="851" spans="1:19" x14ac:dyDescent="0.3">
      <c r="A851" s="113"/>
      <c r="B851" s="113"/>
      <c r="C851" s="113"/>
      <c r="D851" s="113"/>
      <c r="E851" s="113"/>
      <c r="F851" s="113"/>
      <c r="G851" s="113"/>
      <c r="H851" s="113"/>
      <c r="I851" s="114"/>
    </row>
    <row r="852" spans="1:19" s="3" customFormat="1" x14ac:dyDescent="0.3">
      <c r="A852" s="113"/>
      <c r="B852" s="113"/>
      <c r="C852" s="113"/>
      <c r="D852" s="113"/>
      <c r="E852" s="113"/>
      <c r="F852" s="113"/>
      <c r="G852" s="113"/>
      <c r="H852" s="113"/>
      <c r="I852" s="114"/>
      <c r="J852" s="23"/>
      <c r="S852" s="4"/>
    </row>
    <row r="853" spans="1:19" s="3" customFormat="1" x14ac:dyDescent="0.3">
      <c r="A853" s="113"/>
      <c r="B853" s="113"/>
      <c r="C853" s="113"/>
      <c r="D853" s="113"/>
      <c r="E853" s="113"/>
      <c r="F853" s="113"/>
      <c r="G853" s="113"/>
      <c r="H853" s="113"/>
      <c r="I853" s="114"/>
      <c r="J853" s="23"/>
      <c r="S853" s="4"/>
    </row>
    <row r="854" spans="1:19" s="3" customFormat="1" x14ac:dyDescent="0.3">
      <c r="A854" s="113"/>
      <c r="B854" s="113"/>
      <c r="C854" s="113"/>
      <c r="D854" s="113"/>
      <c r="E854" s="113"/>
      <c r="F854" s="113"/>
      <c r="G854" s="113"/>
      <c r="H854" s="113"/>
      <c r="I854" s="114"/>
      <c r="J854" s="23"/>
      <c r="S854" s="4"/>
    </row>
    <row r="855" spans="1:19" s="3" customFormat="1" x14ac:dyDescent="0.3">
      <c r="A855" s="113"/>
      <c r="B855" s="113"/>
      <c r="C855" s="113"/>
      <c r="D855" s="113"/>
      <c r="E855" s="113"/>
      <c r="F855" s="113"/>
      <c r="G855" s="113"/>
      <c r="H855" s="113"/>
      <c r="I855" s="114"/>
      <c r="J855" s="23"/>
      <c r="S855" s="4"/>
    </row>
    <row r="856" spans="1:19" s="3" customFormat="1" x14ac:dyDescent="0.3">
      <c r="A856" s="113"/>
      <c r="B856" s="113"/>
      <c r="C856" s="113"/>
      <c r="D856" s="113"/>
      <c r="E856" s="113"/>
      <c r="F856" s="113"/>
      <c r="G856" s="113"/>
      <c r="H856" s="113"/>
      <c r="I856" s="114"/>
      <c r="J856" s="23"/>
      <c r="S856" s="4"/>
    </row>
    <row r="857" spans="1:19" x14ac:dyDescent="0.3">
      <c r="A857" s="115"/>
      <c r="B857" s="45" t="s">
        <v>25</v>
      </c>
      <c r="C857" s="45"/>
      <c r="D857" s="45"/>
      <c r="E857" s="508" t="s">
        <v>77</v>
      </c>
      <c r="F857" s="508"/>
      <c r="G857" s="508"/>
      <c r="H857" s="508"/>
      <c r="I857" s="116"/>
    </row>
    <row r="858" spans="1:19" x14ac:dyDescent="0.3">
      <c r="A858" s="115"/>
      <c r="B858" s="49" t="s">
        <v>26</v>
      </c>
      <c r="C858" s="50"/>
      <c r="D858" s="45"/>
      <c r="E858" s="49" t="s">
        <v>27</v>
      </c>
      <c r="F858" s="50"/>
      <c r="G858" s="50"/>
      <c r="H858" s="116"/>
      <c r="I858" s="116"/>
    </row>
    <row r="859" spans="1:19" x14ac:dyDescent="0.3">
      <c r="A859" s="115"/>
      <c r="B859" s="50" t="s">
        <v>28</v>
      </c>
      <c r="C859" s="51"/>
      <c r="D859" s="51"/>
      <c r="E859" s="50" t="s">
        <v>29</v>
      </c>
      <c r="F859" s="50"/>
      <c r="G859" s="50"/>
      <c r="H859" s="116"/>
      <c r="I859" s="116"/>
    </row>
    <row r="860" spans="1:19" x14ac:dyDescent="0.3">
      <c r="A860" s="51"/>
      <c r="B860" s="51"/>
      <c r="C860" s="52"/>
      <c r="D860" s="51"/>
      <c r="E860" s="50" t="s">
        <v>30</v>
      </c>
      <c r="F860" s="50"/>
      <c r="G860" s="50"/>
      <c r="H860" s="116"/>
      <c r="I860" s="116"/>
    </row>
    <row r="861" spans="1:19" x14ac:dyDescent="0.3">
      <c r="A861" s="51"/>
      <c r="B861" s="117"/>
      <c r="C861" s="117"/>
      <c r="D861" s="51"/>
      <c r="E861" s="51"/>
      <c r="F861" s="118"/>
      <c r="G861" s="116"/>
      <c r="H861" s="116"/>
      <c r="I861" s="116"/>
    </row>
    <row r="862" spans="1:19" x14ac:dyDescent="0.3">
      <c r="A862" s="117"/>
      <c r="B862" s="117"/>
      <c r="C862" s="117"/>
      <c r="D862" s="117"/>
      <c r="E862" s="117"/>
      <c r="F862" s="117"/>
      <c r="G862" s="117"/>
      <c r="H862" s="117"/>
      <c r="I862" s="117"/>
    </row>
    <row r="863" spans="1:19" x14ac:dyDescent="0.3">
      <c r="B863" s="117"/>
      <c r="C863" s="117"/>
    </row>
  </sheetData>
  <mergeCells count="1284">
    <mergeCell ref="A524:B524"/>
    <mergeCell ref="G524:H524"/>
    <mergeCell ref="A493:C493"/>
    <mergeCell ref="G493:H493"/>
    <mergeCell ref="A494:B494"/>
    <mergeCell ref="G494:H494"/>
    <mergeCell ref="A484:B484"/>
    <mergeCell ref="G484:H484"/>
    <mergeCell ref="A485:B485"/>
    <mergeCell ref="G485:H485"/>
    <mergeCell ref="A486:B486"/>
    <mergeCell ref="G486:H486"/>
    <mergeCell ref="A154:B154"/>
    <mergeCell ref="A157:B157"/>
    <mergeCell ref="A158:B158"/>
    <mergeCell ref="A160:B160"/>
    <mergeCell ref="A162:B162"/>
    <mergeCell ref="A164:B164"/>
    <mergeCell ref="A166:B166"/>
    <mergeCell ref="A168:B168"/>
    <mergeCell ref="A170:B170"/>
    <mergeCell ref="A172:B172"/>
    <mergeCell ref="A449:B449"/>
    <mergeCell ref="G449:H449"/>
    <mergeCell ref="A467:B467"/>
    <mergeCell ref="C467:H468"/>
    <mergeCell ref="A468:B468"/>
    <mergeCell ref="A469:C469"/>
    <mergeCell ref="A522:B522"/>
    <mergeCell ref="G522:H522"/>
    <mergeCell ref="G471:H471"/>
    <mergeCell ref="A472:B472"/>
    <mergeCell ref="A511:B511"/>
    <mergeCell ref="G511:H511"/>
    <mergeCell ref="G451:H451"/>
    <mergeCell ref="A452:B452"/>
    <mergeCell ref="G452:H452"/>
    <mergeCell ref="G427:H427"/>
    <mergeCell ref="A428:H428"/>
    <mergeCell ref="A442:B442"/>
    <mergeCell ref="A533:B533"/>
    <mergeCell ref="G533:H533"/>
    <mergeCell ref="A513:H513"/>
    <mergeCell ref="A515:B515"/>
    <mergeCell ref="C515:H516"/>
    <mergeCell ref="A516:B516"/>
    <mergeCell ref="A517:C517"/>
    <mergeCell ref="G517:H517"/>
    <mergeCell ref="A518:B518"/>
    <mergeCell ref="G518:H518"/>
    <mergeCell ref="A519:B519"/>
    <mergeCell ref="G519:H519"/>
    <mergeCell ref="A520:B520"/>
    <mergeCell ref="G520:H520"/>
    <mergeCell ref="A521:B521"/>
    <mergeCell ref="G521:H521"/>
    <mergeCell ref="A527:B527"/>
    <mergeCell ref="G527:H527"/>
    <mergeCell ref="A528:B528"/>
    <mergeCell ref="G528:H528"/>
    <mergeCell ref="A529:B529"/>
    <mergeCell ref="G529:H529"/>
    <mergeCell ref="A530:B530"/>
    <mergeCell ref="G530:H530"/>
    <mergeCell ref="A531:B531"/>
    <mergeCell ref="G531:H531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46:B146"/>
    <mergeCell ref="A147:B147"/>
    <mergeCell ref="A148:B148"/>
    <mergeCell ref="A149:B149"/>
    <mergeCell ref="A150:B150"/>
    <mergeCell ref="A151:B151"/>
    <mergeCell ref="A152:B152"/>
    <mergeCell ref="A512:B512"/>
    <mergeCell ref="G512:H512"/>
    <mergeCell ref="A503:B503"/>
    <mergeCell ref="G503:H503"/>
    <mergeCell ref="A504:B504"/>
    <mergeCell ref="G504:H504"/>
    <mergeCell ref="A505:B505"/>
    <mergeCell ref="G505:H505"/>
    <mergeCell ref="A506:B506"/>
    <mergeCell ref="G506:H506"/>
    <mergeCell ref="A507:B507"/>
    <mergeCell ref="G507:H507"/>
    <mergeCell ref="A508:B508"/>
    <mergeCell ref="G830:H830"/>
    <mergeCell ref="G831:H831"/>
    <mergeCell ref="A832:H832"/>
    <mergeCell ref="A830:B831"/>
    <mergeCell ref="C778:H779"/>
    <mergeCell ref="A779:B779"/>
    <mergeCell ref="A737:B737"/>
    <mergeCell ref="G737:H737"/>
    <mergeCell ref="A738:H738"/>
    <mergeCell ref="A740:B740"/>
    <mergeCell ref="C740:H741"/>
    <mergeCell ref="A741:B741"/>
    <mergeCell ref="A742:C742"/>
    <mergeCell ref="G742:H742"/>
    <mergeCell ref="A743:B745"/>
    <mergeCell ref="G743:H743"/>
    <mergeCell ref="G745:H745"/>
    <mergeCell ref="A746:H746"/>
    <mergeCell ref="A748:B748"/>
    <mergeCell ref="A762:H762"/>
    <mergeCell ref="A764:B764"/>
    <mergeCell ref="A802:B802"/>
    <mergeCell ref="A803:C803"/>
    <mergeCell ref="G803:H803"/>
    <mergeCell ref="A804:B805"/>
    <mergeCell ref="G804:H804"/>
    <mergeCell ref="G805:H805"/>
    <mergeCell ref="A806:H806"/>
    <mergeCell ref="A799:H799"/>
    <mergeCell ref="G813:H813"/>
    <mergeCell ref="G715:H715"/>
    <mergeCell ref="C748:H749"/>
    <mergeCell ref="A749:B749"/>
    <mergeCell ref="A750:C750"/>
    <mergeCell ref="G750:H750"/>
    <mergeCell ref="A660:B660"/>
    <mergeCell ref="C660:H661"/>
    <mergeCell ref="A661:B661"/>
    <mergeCell ref="A662:C662"/>
    <mergeCell ref="G662:H662"/>
    <mergeCell ref="A663:B664"/>
    <mergeCell ref="G663:H663"/>
    <mergeCell ref="G664:H664"/>
    <mergeCell ref="A665:H665"/>
    <mergeCell ref="A829:C829"/>
    <mergeCell ref="G829:H829"/>
    <mergeCell ref="G744:H744"/>
    <mergeCell ref="G811:H811"/>
    <mergeCell ref="G812:H812"/>
    <mergeCell ref="A814:H814"/>
    <mergeCell ref="A816:B816"/>
    <mergeCell ref="C816:H817"/>
    <mergeCell ref="A817:B817"/>
    <mergeCell ref="A818:C818"/>
    <mergeCell ref="G818:H818"/>
    <mergeCell ref="G819:H819"/>
    <mergeCell ref="G820:H820"/>
    <mergeCell ref="A785:I785"/>
    <mergeCell ref="A811:B812"/>
    <mergeCell ref="A801:B801"/>
    <mergeCell ref="C801:H802"/>
    <mergeCell ref="A822:H822"/>
    <mergeCell ref="A634:B636"/>
    <mergeCell ref="G634:H634"/>
    <mergeCell ref="A667:B667"/>
    <mergeCell ref="C667:H668"/>
    <mergeCell ref="A668:B668"/>
    <mergeCell ref="A669:C669"/>
    <mergeCell ref="A637:H637"/>
    <mergeCell ref="A639:B639"/>
    <mergeCell ref="C639:H640"/>
    <mergeCell ref="A640:B640"/>
    <mergeCell ref="G730:H730"/>
    <mergeCell ref="A655:C655"/>
    <mergeCell ref="C764:H765"/>
    <mergeCell ref="A765:B765"/>
    <mergeCell ref="A766:C766"/>
    <mergeCell ref="G766:H766"/>
    <mergeCell ref="A758:C758"/>
    <mergeCell ref="G758:H758"/>
    <mergeCell ref="A702:H702"/>
    <mergeCell ref="A704:B704"/>
    <mergeCell ref="C704:H705"/>
    <mergeCell ref="A705:B705"/>
    <mergeCell ref="A706:C706"/>
    <mergeCell ref="G706:H706"/>
    <mergeCell ref="A707:B708"/>
    <mergeCell ref="G707:H707"/>
    <mergeCell ref="G708:H708"/>
    <mergeCell ref="G752:H752"/>
    <mergeCell ref="G760:H760"/>
    <mergeCell ref="G810:H810"/>
    <mergeCell ref="G714:H714"/>
    <mergeCell ref="A732:H732"/>
    <mergeCell ref="G773:H773"/>
    <mergeCell ref="A585:B585"/>
    <mergeCell ref="A827:B827"/>
    <mergeCell ref="C827:H828"/>
    <mergeCell ref="A828:B828"/>
    <mergeCell ref="A566:B566"/>
    <mergeCell ref="A568:B568"/>
    <mergeCell ref="G568:H568"/>
    <mergeCell ref="A569:B569"/>
    <mergeCell ref="A848:H848"/>
    <mergeCell ref="A825:I825"/>
    <mergeCell ref="A841:B841"/>
    <mergeCell ref="C841:H842"/>
    <mergeCell ref="G657:H657"/>
    <mergeCell ref="A648:C648"/>
    <mergeCell ref="G648:H648"/>
    <mergeCell ref="A649:B650"/>
    <mergeCell ref="G649:H649"/>
    <mergeCell ref="G650:H650"/>
    <mergeCell ref="G642:H642"/>
    <mergeCell ref="G643:H643"/>
    <mergeCell ref="A644:H644"/>
    <mergeCell ref="A641:C641"/>
    <mergeCell ref="G641:H641"/>
    <mergeCell ref="A651:H651"/>
    <mergeCell ref="A625:I625"/>
    <mergeCell ref="A808:B808"/>
    <mergeCell ref="C808:H809"/>
    <mergeCell ref="A809:B809"/>
    <mergeCell ref="A810:C810"/>
    <mergeCell ref="A658:H658"/>
    <mergeCell ref="G499:H499"/>
    <mergeCell ref="A500:B500"/>
    <mergeCell ref="G500:H500"/>
    <mergeCell ref="A501:B501"/>
    <mergeCell ref="G501:H501"/>
    <mergeCell ref="A502:B502"/>
    <mergeCell ref="G502:H502"/>
    <mergeCell ref="A532:B532"/>
    <mergeCell ref="G532:H532"/>
    <mergeCell ref="A523:B523"/>
    <mergeCell ref="G523:H523"/>
    <mergeCell ref="A842:B842"/>
    <mergeCell ref="A525:B525"/>
    <mergeCell ref="G525:H525"/>
    <mergeCell ref="A526:B526"/>
    <mergeCell ref="G526:H526"/>
    <mergeCell ref="A536:B536"/>
    <mergeCell ref="G536:H536"/>
    <mergeCell ref="A537:H537"/>
    <mergeCell ref="A567:C567"/>
    <mergeCell ref="G567:H567"/>
    <mergeCell ref="A545:B545"/>
    <mergeCell ref="G545:H545"/>
    <mergeCell ref="A546:B546"/>
    <mergeCell ref="G546:H546"/>
    <mergeCell ref="A547:B547"/>
    <mergeCell ref="G547:H547"/>
    <mergeCell ref="A548:B548"/>
    <mergeCell ref="G548:H548"/>
    <mergeCell ref="A549:B549"/>
    <mergeCell ref="A572:B572"/>
    <mergeCell ref="G572:H572"/>
    <mergeCell ref="A482:B482"/>
    <mergeCell ref="G482:H482"/>
    <mergeCell ref="A483:B483"/>
    <mergeCell ref="G483:H483"/>
    <mergeCell ref="A470:B470"/>
    <mergeCell ref="G470:H470"/>
    <mergeCell ref="A471:B471"/>
    <mergeCell ref="A487:B487"/>
    <mergeCell ref="G487:H487"/>
    <mergeCell ref="A488:B488"/>
    <mergeCell ref="G488:H488"/>
    <mergeCell ref="G469:H469"/>
    <mergeCell ref="G462:H462"/>
    <mergeCell ref="G569:H569"/>
    <mergeCell ref="A575:H575"/>
    <mergeCell ref="A583:B583"/>
    <mergeCell ref="G583:H583"/>
    <mergeCell ref="A534:B534"/>
    <mergeCell ref="G534:H534"/>
    <mergeCell ref="A535:B535"/>
    <mergeCell ref="G535:H535"/>
    <mergeCell ref="A543:B543"/>
    <mergeCell ref="G543:H543"/>
    <mergeCell ref="A495:B495"/>
    <mergeCell ref="G495:H495"/>
    <mergeCell ref="A496:B496"/>
    <mergeCell ref="G496:H496"/>
    <mergeCell ref="A497:B497"/>
    <mergeCell ref="G497:H497"/>
    <mergeCell ref="A498:B498"/>
    <mergeCell ref="G498:H498"/>
    <mergeCell ref="A499:B499"/>
    <mergeCell ref="C442:H443"/>
    <mergeCell ref="A443:B443"/>
    <mergeCell ref="A444:C444"/>
    <mergeCell ref="G444:H444"/>
    <mergeCell ref="A445:B445"/>
    <mergeCell ref="G445:H445"/>
    <mergeCell ref="A446:B446"/>
    <mergeCell ref="G446:H446"/>
    <mergeCell ref="G472:H472"/>
    <mergeCell ref="A473:B473"/>
    <mergeCell ref="G473:H473"/>
    <mergeCell ref="A474:B474"/>
    <mergeCell ref="G474:H474"/>
    <mergeCell ref="G508:H508"/>
    <mergeCell ref="A510:B510"/>
    <mergeCell ref="G510:H510"/>
    <mergeCell ref="A509:B509"/>
    <mergeCell ref="G509:H509"/>
    <mergeCell ref="A480:B480"/>
    <mergeCell ref="G480:H480"/>
    <mergeCell ref="A481:B481"/>
    <mergeCell ref="G481:H481"/>
    <mergeCell ref="A489:H489"/>
    <mergeCell ref="A491:B491"/>
    <mergeCell ref="C491:H492"/>
    <mergeCell ref="A492:B492"/>
    <mergeCell ref="A459:B459"/>
    <mergeCell ref="G459:H459"/>
    <mergeCell ref="A460:B460"/>
    <mergeCell ref="G460:H460"/>
    <mergeCell ref="A461:B461"/>
    <mergeCell ref="G461:H461"/>
    <mergeCell ref="G475:H475"/>
    <mergeCell ref="A447:B447"/>
    <mergeCell ref="G447:H447"/>
    <mergeCell ref="A448:B448"/>
    <mergeCell ref="G448:H448"/>
    <mergeCell ref="A455:B455"/>
    <mergeCell ref="G455:H455"/>
    <mergeCell ref="A456:B456"/>
    <mergeCell ref="G456:H456"/>
    <mergeCell ref="A457:B457"/>
    <mergeCell ref="G457:H457"/>
    <mergeCell ref="A465:H465"/>
    <mergeCell ref="A458:B458"/>
    <mergeCell ref="G458:H458"/>
    <mergeCell ref="A462:B462"/>
    <mergeCell ref="A450:B450"/>
    <mergeCell ref="G450:H450"/>
    <mergeCell ref="A451:B451"/>
    <mergeCell ref="A463:B463"/>
    <mergeCell ref="G463:H463"/>
    <mergeCell ref="A464:B464"/>
    <mergeCell ref="G464:H464"/>
    <mergeCell ref="A295:B295"/>
    <mergeCell ref="G295:H295"/>
    <mergeCell ref="A296:B296"/>
    <mergeCell ref="G296:H296"/>
    <mergeCell ref="A297:H297"/>
    <mergeCell ref="A407:B407"/>
    <mergeCell ref="C407:H408"/>
    <mergeCell ref="A408:B408"/>
    <mergeCell ref="A409:C409"/>
    <mergeCell ref="G409:H409"/>
    <mergeCell ref="A410:B410"/>
    <mergeCell ref="G410:H410"/>
    <mergeCell ref="A339:B339"/>
    <mergeCell ref="G339:H339"/>
    <mergeCell ref="A340:B340"/>
    <mergeCell ref="G340:H340"/>
    <mergeCell ref="A341:B341"/>
    <mergeCell ref="G341:H341"/>
    <mergeCell ref="A342:B342"/>
    <mergeCell ref="G342:H342"/>
    <mergeCell ref="A343:B343"/>
    <mergeCell ref="G343:H343"/>
    <mergeCell ref="A344:B344"/>
    <mergeCell ref="G344:H344"/>
    <mergeCell ref="A345:H345"/>
    <mergeCell ref="A347:B347"/>
    <mergeCell ref="A353:B353"/>
    <mergeCell ref="G353:H353"/>
    <mergeCell ref="A354:B354"/>
    <mergeCell ref="G354:H354"/>
    <mergeCell ref="A355:B355"/>
    <mergeCell ref="G355:H355"/>
    <mergeCell ref="A284:B284"/>
    <mergeCell ref="G284:H284"/>
    <mergeCell ref="A285:H285"/>
    <mergeCell ref="A287:B287"/>
    <mergeCell ref="C287:H288"/>
    <mergeCell ref="A288:B288"/>
    <mergeCell ref="A289:C289"/>
    <mergeCell ref="G289:H289"/>
    <mergeCell ref="A290:B290"/>
    <mergeCell ref="G290:H290"/>
    <mergeCell ref="A291:B291"/>
    <mergeCell ref="G291:H291"/>
    <mergeCell ref="A292:B292"/>
    <mergeCell ref="G292:H292"/>
    <mergeCell ref="A293:B293"/>
    <mergeCell ref="G293:H293"/>
    <mergeCell ref="A294:B294"/>
    <mergeCell ref="G294:H294"/>
    <mergeCell ref="A275:B275"/>
    <mergeCell ref="C275:H276"/>
    <mergeCell ref="A276:B276"/>
    <mergeCell ref="A277:C277"/>
    <mergeCell ref="G277:H277"/>
    <mergeCell ref="A278:B278"/>
    <mergeCell ref="G278:H278"/>
    <mergeCell ref="A279:B279"/>
    <mergeCell ref="G279:H279"/>
    <mergeCell ref="A280:B280"/>
    <mergeCell ref="G280:H280"/>
    <mergeCell ref="A281:B281"/>
    <mergeCell ref="G281:H281"/>
    <mergeCell ref="A282:B282"/>
    <mergeCell ref="G282:H282"/>
    <mergeCell ref="A283:B283"/>
    <mergeCell ref="G283:H283"/>
    <mergeCell ref="A265:C265"/>
    <mergeCell ref="G265:H265"/>
    <mergeCell ref="A266:B266"/>
    <mergeCell ref="G266:H266"/>
    <mergeCell ref="A267:B267"/>
    <mergeCell ref="G267:H267"/>
    <mergeCell ref="A268:B268"/>
    <mergeCell ref="G268:H268"/>
    <mergeCell ref="A269:B269"/>
    <mergeCell ref="G269:H269"/>
    <mergeCell ref="A270:B270"/>
    <mergeCell ref="G270:H270"/>
    <mergeCell ref="A271:B271"/>
    <mergeCell ref="G271:H271"/>
    <mergeCell ref="A272:B272"/>
    <mergeCell ref="G272:H272"/>
    <mergeCell ref="A273:H273"/>
    <mergeCell ref="A254:B254"/>
    <mergeCell ref="G254:H254"/>
    <mergeCell ref="A255:B255"/>
    <mergeCell ref="G255:H255"/>
    <mergeCell ref="A256:B256"/>
    <mergeCell ref="G256:H256"/>
    <mergeCell ref="A257:B257"/>
    <mergeCell ref="G257:H257"/>
    <mergeCell ref="A258:B258"/>
    <mergeCell ref="G258:H258"/>
    <mergeCell ref="A259:B259"/>
    <mergeCell ref="G259:H259"/>
    <mergeCell ref="A260:B260"/>
    <mergeCell ref="G260:H260"/>
    <mergeCell ref="A261:H261"/>
    <mergeCell ref="A263:B263"/>
    <mergeCell ref="C263:H264"/>
    <mergeCell ref="A264:B264"/>
    <mergeCell ref="A243:B243"/>
    <mergeCell ref="G243:H243"/>
    <mergeCell ref="A244:B244"/>
    <mergeCell ref="G244:H244"/>
    <mergeCell ref="A245:B245"/>
    <mergeCell ref="G245:H245"/>
    <mergeCell ref="A246:B246"/>
    <mergeCell ref="G246:H246"/>
    <mergeCell ref="A247:B247"/>
    <mergeCell ref="G247:H247"/>
    <mergeCell ref="A248:B248"/>
    <mergeCell ref="G248:H248"/>
    <mergeCell ref="A249:H249"/>
    <mergeCell ref="A251:B251"/>
    <mergeCell ref="C251:H252"/>
    <mergeCell ref="A252:B252"/>
    <mergeCell ref="A253:C253"/>
    <mergeCell ref="G253:H253"/>
    <mergeCell ref="A232:B232"/>
    <mergeCell ref="G232:H232"/>
    <mergeCell ref="A233:B233"/>
    <mergeCell ref="G233:H233"/>
    <mergeCell ref="A234:B234"/>
    <mergeCell ref="G234:H234"/>
    <mergeCell ref="A235:B235"/>
    <mergeCell ref="G235:H235"/>
    <mergeCell ref="A236:B236"/>
    <mergeCell ref="G236:H236"/>
    <mergeCell ref="A237:H237"/>
    <mergeCell ref="A239:B239"/>
    <mergeCell ref="C239:H240"/>
    <mergeCell ref="A240:B240"/>
    <mergeCell ref="A241:C241"/>
    <mergeCell ref="G241:H241"/>
    <mergeCell ref="A242:B242"/>
    <mergeCell ref="G242:H242"/>
    <mergeCell ref="A221:B221"/>
    <mergeCell ref="G221:H221"/>
    <mergeCell ref="A222:B222"/>
    <mergeCell ref="G222:H222"/>
    <mergeCell ref="A223:B223"/>
    <mergeCell ref="G223:H223"/>
    <mergeCell ref="A224:B224"/>
    <mergeCell ref="G224:H224"/>
    <mergeCell ref="A225:H225"/>
    <mergeCell ref="A227:B227"/>
    <mergeCell ref="C227:H228"/>
    <mergeCell ref="A228:B228"/>
    <mergeCell ref="A229:C229"/>
    <mergeCell ref="G229:H229"/>
    <mergeCell ref="A230:B230"/>
    <mergeCell ref="G230:H230"/>
    <mergeCell ref="A231:B231"/>
    <mergeCell ref="G231:H231"/>
    <mergeCell ref="A195:B195"/>
    <mergeCell ref="G195:H195"/>
    <mergeCell ref="A196:B196"/>
    <mergeCell ref="G196:H196"/>
    <mergeCell ref="A202:H202"/>
    <mergeCell ref="A215:B215"/>
    <mergeCell ref="C215:H216"/>
    <mergeCell ref="A216:B216"/>
    <mergeCell ref="A217:C217"/>
    <mergeCell ref="G217:H217"/>
    <mergeCell ref="A218:B218"/>
    <mergeCell ref="G218:H218"/>
    <mergeCell ref="A219:B219"/>
    <mergeCell ref="G219:H219"/>
    <mergeCell ref="A213:H213"/>
    <mergeCell ref="A220:B220"/>
    <mergeCell ref="G220:H220"/>
    <mergeCell ref="A204:B204"/>
    <mergeCell ref="C204:H205"/>
    <mergeCell ref="A205:B205"/>
    <mergeCell ref="A206:C206"/>
    <mergeCell ref="G206:H206"/>
    <mergeCell ref="A207:B207"/>
    <mergeCell ref="G207:H207"/>
    <mergeCell ref="A208:B208"/>
    <mergeCell ref="G208:H208"/>
    <mergeCell ref="A209:B209"/>
    <mergeCell ref="G209:H209"/>
    <mergeCell ref="A210:B210"/>
    <mergeCell ref="G210:H210"/>
    <mergeCell ref="A211:B211"/>
    <mergeCell ref="G211:H211"/>
    <mergeCell ref="A167:B167"/>
    <mergeCell ref="A169:B169"/>
    <mergeCell ref="A183:B183"/>
    <mergeCell ref="C183:H184"/>
    <mergeCell ref="A184:B184"/>
    <mergeCell ref="A185:C185"/>
    <mergeCell ref="G185:H185"/>
    <mergeCell ref="A186:B186"/>
    <mergeCell ref="G186:H186"/>
    <mergeCell ref="A187:B187"/>
    <mergeCell ref="G187:H187"/>
    <mergeCell ref="A188:B188"/>
    <mergeCell ref="G188:H188"/>
    <mergeCell ref="A189:B189"/>
    <mergeCell ref="G189:H189"/>
    <mergeCell ref="A194:B194"/>
    <mergeCell ref="G194:H194"/>
    <mergeCell ref="A190:B190"/>
    <mergeCell ref="G190:H190"/>
    <mergeCell ref="A191:B191"/>
    <mergeCell ref="G191:H191"/>
    <mergeCell ref="A192:B192"/>
    <mergeCell ref="G192:H192"/>
    <mergeCell ref="A193:B193"/>
    <mergeCell ref="G193:H193"/>
    <mergeCell ref="A120:B120"/>
    <mergeCell ref="A109:B109"/>
    <mergeCell ref="G109:H109"/>
    <mergeCell ref="A110:B110"/>
    <mergeCell ref="G110:H110"/>
    <mergeCell ref="A114:H114"/>
    <mergeCell ref="A121:B121"/>
    <mergeCell ref="A122:B122"/>
    <mergeCell ref="A180:B180"/>
    <mergeCell ref="A179:B179"/>
    <mergeCell ref="A171:B171"/>
    <mergeCell ref="A173:B173"/>
    <mergeCell ref="A174:B174"/>
    <mergeCell ref="A181:H181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45:B145"/>
    <mergeCell ref="A153:B153"/>
    <mergeCell ref="A159:B159"/>
    <mergeCell ref="A161:B161"/>
    <mergeCell ref="A163:B163"/>
    <mergeCell ref="A165:B165"/>
    <mergeCell ref="A137:B137"/>
    <mergeCell ref="A138:B138"/>
    <mergeCell ref="A108:B108"/>
    <mergeCell ref="G108:H108"/>
    <mergeCell ref="A103:C103"/>
    <mergeCell ref="G103:H103"/>
    <mergeCell ref="A104:B104"/>
    <mergeCell ref="G104:H104"/>
    <mergeCell ref="A105:B105"/>
    <mergeCell ref="G105:H105"/>
    <mergeCell ref="A116:B116"/>
    <mergeCell ref="C116:H117"/>
    <mergeCell ref="A117:B117"/>
    <mergeCell ref="A118:C118"/>
    <mergeCell ref="A119:B119"/>
    <mergeCell ref="A111:B111"/>
    <mergeCell ref="G111:H111"/>
    <mergeCell ref="A112:B112"/>
    <mergeCell ref="G112:H112"/>
    <mergeCell ref="A113:B113"/>
    <mergeCell ref="G113:H113"/>
    <mergeCell ref="A99:H99"/>
    <mergeCell ref="A101:B101"/>
    <mergeCell ref="C101:H102"/>
    <mergeCell ref="A102:B102"/>
    <mergeCell ref="A92:B92"/>
    <mergeCell ref="G92:H92"/>
    <mergeCell ref="A93:B93"/>
    <mergeCell ref="G93:H93"/>
    <mergeCell ref="A95:B95"/>
    <mergeCell ref="G95:H95"/>
    <mergeCell ref="A96:B96"/>
    <mergeCell ref="G96:H96"/>
    <mergeCell ref="A97:B97"/>
    <mergeCell ref="G97:H97"/>
    <mergeCell ref="A106:B106"/>
    <mergeCell ref="G106:H106"/>
    <mergeCell ref="A107:B107"/>
    <mergeCell ref="G107:H107"/>
    <mergeCell ref="E857:H857"/>
    <mergeCell ref="A57:H57"/>
    <mergeCell ref="A62:B62"/>
    <mergeCell ref="G62:H62"/>
    <mergeCell ref="A63:B63"/>
    <mergeCell ref="G63:H63"/>
    <mergeCell ref="A64:B64"/>
    <mergeCell ref="A81:B81"/>
    <mergeCell ref="C81:H82"/>
    <mergeCell ref="A82:B82"/>
    <mergeCell ref="A335:B335"/>
    <mergeCell ref="C335:H336"/>
    <mergeCell ref="A336:B336"/>
    <mergeCell ref="A337:C337"/>
    <mergeCell ref="G337:H337"/>
    <mergeCell ref="A338:B338"/>
    <mergeCell ref="G338:H338"/>
    <mergeCell ref="A84:B84"/>
    <mergeCell ref="G84:H84"/>
    <mergeCell ref="A85:B85"/>
    <mergeCell ref="G85:H85"/>
    <mergeCell ref="A86:B86"/>
    <mergeCell ref="G86:H86"/>
    <mergeCell ref="A83:C83"/>
    <mergeCell ref="G83:H83"/>
    <mergeCell ref="A72:B72"/>
    <mergeCell ref="G72:H72"/>
    <mergeCell ref="A78:B78"/>
    <mergeCell ref="G78:H78"/>
    <mergeCell ref="A79:H79"/>
    <mergeCell ref="A98:B98"/>
    <mergeCell ref="G98:H98"/>
    <mergeCell ref="A56:B56"/>
    <mergeCell ref="G56:H56"/>
    <mergeCell ref="A59:B59"/>
    <mergeCell ref="C59:H60"/>
    <mergeCell ref="A60:B60"/>
    <mergeCell ref="A61:C61"/>
    <mergeCell ref="G61:H61"/>
    <mergeCell ref="A87:B87"/>
    <mergeCell ref="G87:H87"/>
    <mergeCell ref="G64:H64"/>
    <mergeCell ref="A65:B65"/>
    <mergeCell ref="G65:H65"/>
    <mergeCell ref="A66:B66"/>
    <mergeCell ref="G66:H66"/>
    <mergeCell ref="A68:B68"/>
    <mergeCell ref="G68:H68"/>
    <mergeCell ref="A69:B69"/>
    <mergeCell ref="G69:H69"/>
    <mergeCell ref="A70:B70"/>
    <mergeCell ref="G70:H70"/>
    <mergeCell ref="A71:B71"/>
    <mergeCell ref="G71:H71"/>
    <mergeCell ref="A22:B22"/>
    <mergeCell ref="G22:H22"/>
    <mergeCell ref="A23:B23"/>
    <mergeCell ref="G23:H23"/>
    <mergeCell ref="A19:B19"/>
    <mergeCell ref="G19:H19"/>
    <mergeCell ref="A20:B20"/>
    <mergeCell ref="G20:H20"/>
    <mergeCell ref="A21:B21"/>
    <mergeCell ref="G21:H21"/>
    <mergeCell ref="A24:H24"/>
    <mergeCell ref="A26:B26"/>
    <mergeCell ref="C26:H27"/>
    <mergeCell ref="A27:B27"/>
    <mergeCell ref="A28:C28"/>
    <mergeCell ref="G28:H28"/>
    <mergeCell ref="A32:B32"/>
    <mergeCell ref="G32:H32"/>
    <mergeCell ref="A29:B29"/>
    <mergeCell ref="G29:H29"/>
    <mergeCell ref="A30:B30"/>
    <mergeCell ref="G30:H30"/>
    <mergeCell ref="A31:B31"/>
    <mergeCell ref="G31:H31"/>
    <mergeCell ref="A12:I12"/>
    <mergeCell ref="A16:B16"/>
    <mergeCell ref="C16:H17"/>
    <mergeCell ref="A17:B17"/>
    <mergeCell ref="A18:C18"/>
    <mergeCell ref="G18:H18"/>
    <mergeCell ref="A8:I9"/>
    <mergeCell ref="A1:B6"/>
    <mergeCell ref="C1:D2"/>
    <mergeCell ref="E1:F1"/>
    <mergeCell ref="G1:H1"/>
    <mergeCell ref="I1:I6"/>
    <mergeCell ref="E2:F3"/>
    <mergeCell ref="G2:H3"/>
    <mergeCell ref="C3:D3"/>
    <mergeCell ref="C4:D4"/>
    <mergeCell ref="E4:F4"/>
    <mergeCell ref="G4:H4"/>
    <mergeCell ref="C5:D6"/>
    <mergeCell ref="E5:F6"/>
    <mergeCell ref="G5:H5"/>
    <mergeCell ref="G6:H6"/>
    <mergeCell ref="A14:I14"/>
    <mergeCell ref="A356:B356"/>
    <mergeCell ref="G356:H356"/>
    <mergeCell ref="A357:H357"/>
    <mergeCell ref="C347:H348"/>
    <mergeCell ref="A348:B348"/>
    <mergeCell ref="A349:C349"/>
    <mergeCell ref="G349:H349"/>
    <mergeCell ref="A350:B350"/>
    <mergeCell ref="G350:H350"/>
    <mergeCell ref="A351:B351"/>
    <mergeCell ref="G351:H351"/>
    <mergeCell ref="A352:B352"/>
    <mergeCell ref="G352:H352"/>
    <mergeCell ref="A364:B364"/>
    <mergeCell ref="G364:H364"/>
    <mergeCell ref="A365:B365"/>
    <mergeCell ref="G365:H365"/>
    <mergeCell ref="A366:B366"/>
    <mergeCell ref="G366:H366"/>
    <mergeCell ref="A367:B367"/>
    <mergeCell ref="G367:H367"/>
    <mergeCell ref="A368:B368"/>
    <mergeCell ref="G368:H368"/>
    <mergeCell ref="A359:B359"/>
    <mergeCell ref="C359:H360"/>
    <mergeCell ref="A360:B360"/>
    <mergeCell ref="A361:C361"/>
    <mergeCell ref="G361:H361"/>
    <mergeCell ref="A362:B362"/>
    <mergeCell ref="G362:H362"/>
    <mergeCell ref="A363:B363"/>
    <mergeCell ref="G363:H363"/>
    <mergeCell ref="A376:B376"/>
    <mergeCell ref="G376:H376"/>
    <mergeCell ref="A377:B377"/>
    <mergeCell ref="G377:H377"/>
    <mergeCell ref="A378:B378"/>
    <mergeCell ref="G378:H378"/>
    <mergeCell ref="A379:B379"/>
    <mergeCell ref="G379:H379"/>
    <mergeCell ref="A380:B380"/>
    <mergeCell ref="G380:H380"/>
    <mergeCell ref="A369:H369"/>
    <mergeCell ref="A371:B371"/>
    <mergeCell ref="C371:H372"/>
    <mergeCell ref="A372:B372"/>
    <mergeCell ref="A373:C373"/>
    <mergeCell ref="G373:H373"/>
    <mergeCell ref="A374:B374"/>
    <mergeCell ref="G374:H374"/>
    <mergeCell ref="A375:B375"/>
    <mergeCell ref="G375:H375"/>
    <mergeCell ref="A388:B388"/>
    <mergeCell ref="G388:H388"/>
    <mergeCell ref="A389:B389"/>
    <mergeCell ref="G389:H389"/>
    <mergeCell ref="A390:B390"/>
    <mergeCell ref="G390:H390"/>
    <mergeCell ref="A391:B391"/>
    <mergeCell ref="G391:H391"/>
    <mergeCell ref="A392:B392"/>
    <mergeCell ref="G392:H392"/>
    <mergeCell ref="A381:H381"/>
    <mergeCell ref="A383:B383"/>
    <mergeCell ref="C383:H384"/>
    <mergeCell ref="A384:B384"/>
    <mergeCell ref="A385:C385"/>
    <mergeCell ref="G385:H385"/>
    <mergeCell ref="A386:B386"/>
    <mergeCell ref="G386:H386"/>
    <mergeCell ref="A387:B387"/>
    <mergeCell ref="G387:H387"/>
    <mergeCell ref="A393:H393"/>
    <mergeCell ref="A539:B539"/>
    <mergeCell ref="C539:H540"/>
    <mergeCell ref="A540:B540"/>
    <mergeCell ref="A541:C541"/>
    <mergeCell ref="G541:H541"/>
    <mergeCell ref="A542:B542"/>
    <mergeCell ref="G542:H542"/>
    <mergeCell ref="A544:B544"/>
    <mergeCell ref="G544:H544"/>
    <mergeCell ref="A411:B411"/>
    <mergeCell ref="G411:H411"/>
    <mergeCell ref="A412:B412"/>
    <mergeCell ref="G412:H412"/>
    <mergeCell ref="A413:B413"/>
    <mergeCell ref="G413:H413"/>
    <mergeCell ref="A414:B414"/>
    <mergeCell ref="G414:H414"/>
    <mergeCell ref="A415:B415"/>
    <mergeCell ref="G415:H415"/>
    <mergeCell ref="A416:H416"/>
    <mergeCell ref="A418:B418"/>
    <mergeCell ref="C418:H419"/>
    <mergeCell ref="A419:B419"/>
    <mergeCell ref="A420:C420"/>
    <mergeCell ref="G420:H420"/>
    <mergeCell ref="A421:B421"/>
    <mergeCell ref="G421:H421"/>
    <mergeCell ref="A422:B422"/>
    <mergeCell ref="G422:H422"/>
    <mergeCell ref="A423:B423"/>
    <mergeCell ref="G423:H423"/>
    <mergeCell ref="A212:B212"/>
    <mergeCell ref="G212:H212"/>
    <mergeCell ref="A570:B570"/>
    <mergeCell ref="G570:H570"/>
    <mergeCell ref="A571:B571"/>
    <mergeCell ref="G571:H571"/>
    <mergeCell ref="A573:B573"/>
    <mergeCell ref="G573:H573"/>
    <mergeCell ref="A574:B574"/>
    <mergeCell ref="G574:H574"/>
    <mergeCell ref="G549:H549"/>
    <mergeCell ref="A550:H550"/>
    <mergeCell ref="A565:B565"/>
    <mergeCell ref="C565:H566"/>
    <mergeCell ref="A582:B582"/>
    <mergeCell ref="G582:H582"/>
    <mergeCell ref="C311:H312"/>
    <mergeCell ref="A312:B312"/>
    <mergeCell ref="A313:C313"/>
    <mergeCell ref="G313:H313"/>
    <mergeCell ref="A314:B314"/>
    <mergeCell ref="G314:H314"/>
    <mergeCell ref="A315:B315"/>
    <mergeCell ref="G315:H315"/>
    <mergeCell ref="A321:H321"/>
    <mergeCell ref="A299:B299"/>
    <mergeCell ref="C299:H300"/>
    <mergeCell ref="A300:B300"/>
    <mergeCell ref="A301:C301"/>
    <mergeCell ref="G301:H301"/>
    <mergeCell ref="A302:B302"/>
    <mergeCell ref="G302:H302"/>
    <mergeCell ref="G586:H586"/>
    <mergeCell ref="A577:B577"/>
    <mergeCell ref="C577:H578"/>
    <mergeCell ref="A578:B578"/>
    <mergeCell ref="A579:C579"/>
    <mergeCell ref="G579:H579"/>
    <mergeCell ref="A580:B580"/>
    <mergeCell ref="G580:H580"/>
    <mergeCell ref="A581:B581"/>
    <mergeCell ref="G581:H581"/>
    <mergeCell ref="A594:B594"/>
    <mergeCell ref="G594:H594"/>
    <mergeCell ref="A595:B595"/>
    <mergeCell ref="G595:H595"/>
    <mergeCell ref="A596:B596"/>
    <mergeCell ref="G596:H596"/>
    <mergeCell ref="A597:B597"/>
    <mergeCell ref="G597:H597"/>
    <mergeCell ref="G585:H585"/>
    <mergeCell ref="A586:B586"/>
    <mergeCell ref="A584:B584"/>
    <mergeCell ref="G584:H584"/>
    <mergeCell ref="A599:H599"/>
    <mergeCell ref="A601:B601"/>
    <mergeCell ref="C601:H602"/>
    <mergeCell ref="A602:B602"/>
    <mergeCell ref="A603:C603"/>
    <mergeCell ref="G603:H603"/>
    <mergeCell ref="A604:B604"/>
    <mergeCell ref="G604:H604"/>
    <mergeCell ref="A605:B605"/>
    <mergeCell ref="G605:H605"/>
    <mergeCell ref="A618:B618"/>
    <mergeCell ref="G618:H618"/>
    <mergeCell ref="A619:B619"/>
    <mergeCell ref="G619:H619"/>
    <mergeCell ref="A598:B598"/>
    <mergeCell ref="G598:H598"/>
    <mergeCell ref="A587:H587"/>
    <mergeCell ref="A589:B589"/>
    <mergeCell ref="C589:H590"/>
    <mergeCell ref="A590:B590"/>
    <mergeCell ref="A591:C591"/>
    <mergeCell ref="G591:H591"/>
    <mergeCell ref="A592:B592"/>
    <mergeCell ref="G592:H592"/>
    <mergeCell ref="A593:B593"/>
    <mergeCell ref="G593:H593"/>
    <mergeCell ref="A606:B606"/>
    <mergeCell ref="G606:H606"/>
    <mergeCell ref="A607:B607"/>
    <mergeCell ref="G607:H607"/>
    <mergeCell ref="A608:B608"/>
    <mergeCell ref="G608:H608"/>
    <mergeCell ref="A620:B620"/>
    <mergeCell ref="G620:H620"/>
    <mergeCell ref="A621:B621"/>
    <mergeCell ref="G621:H621"/>
    <mergeCell ref="A622:B622"/>
    <mergeCell ref="G622:H622"/>
    <mergeCell ref="A611:H611"/>
    <mergeCell ref="A613:B613"/>
    <mergeCell ref="C613:H614"/>
    <mergeCell ref="A614:B614"/>
    <mergeCell ref="A615:C615"/>
    <mergeCell ref="G615:H615"/>
    <mergeCell ref="A616:B616"/>
    <mergeCell ref="G616:H616"/>
    <mergeCell ref="A617:B617"/>
    <mergeCell ref="G617:H617"/>
    <mergeCell ref="A609:B609"/>
    <mergeCell ref="G609:H609"/>
    <mergeCell ref="A610:B610"/>
    <mergeCell ref="G610:H610"/>
    <mergeCell ref="G685:H685"/>
    <mergeCell ref="A686:B687"/>
    <mergeCell ref="G686:H686"/>
    <mergeCell ref="A714:B715"/>
    <mergeCell ref="A819:B821"/>
    <mergeCell ref="G821:H821"/>
    <mergeCell ref="G669:H669"/>
    <mergeCell ref="A623:H623"/>
    <mergeCell ref="A629:B629"/>
    <mergeCell ref="C629:H630"/>
    <mergeCell ref="A630:B630"/>
    <mergeCell ref="A631:C631"/>
    <mergeCell ref="G631:H631"/>
    <mergeCell ref="G632:H632"/>
    <mergeCell ref="G633:H633"/>
    <mergeCell ref="G635:H635"/>
    <mergeCell ref="G636:H636"/>
    <mergeCell ref="A674:B674"/>
    <mergeCell ref="G774:H774"/>
    <mergeCell ref="G775:H775"/>
    <mergeCell ref="A778:B778"/>
    <mergeCell ref="A632:B633"/>
    <mergeCell ref="A642:B643"/>
    <mergeCell ref="A646:B646"/>
    <mergeCell ref="C646:H647"/>
    <mergeCell ref="A647:B647"/>
    <mergeCell ref="A653:B653"/>
    <mergeCell ref="G655:H655"/>
    <mergeCell ref="A656:B657"/>
    <mergeCell ref="G656:H656"/>
    <mergeCell ref="A627:I627"/>
    <mergeCell ref="A681:I681"/>
    <mergeCell ref="A718:B718"/>
    <mergeCell ref="C718:H719"/>
    <mergeCell ref="A719:B719"/>
    <mergeCell ref="A720:C720"/>
    <mergeCell ref="G720:H720"/>
    <mergeCell ref="A721:B722"/>
    <mergeCell ref="G721:H721"/>
    <mergeCell ref="G722:H722"/>
    <mergeCell ref="A723:H723"/>
    <mergeCell ref="A792:H792"/>
    <mergeCell ref="G789:H789"/>
    <mergeCell ref="G790:H790"/>
    <mergeCell ref="G791:H791"/>
    <mergeCell ref="A794:B794"/>
    <mergeCell ref="C794:H795"/>
    <mergeCell ref="A795:B795"/>
    <mergeCell ref="A796:C796"/>
    <mergeCell ref="G796:H796"/>
    <mergeCell ref="A774:B775"/>
    <mergeCell ref="A776:H776"/>
    <mergeCell ref="A787:B787"/>
    <mergeCell ref="C787:H788"/>
    <mergeCell ref="A788:B788"/>
    <mergeCell ref="A789:C789"/>
    <mergeCell ref="A790:B791"/>
    <mergeCell ref="A780:C780"/>
    <mergeCell ref="A781:B782"/>
    <mergeCell ref="A783:H783"/>
    <mergeCell ref="A734:B734"/>
    <mergeCell ref="C734:H735"/>
    <mergeCell ref="A735:B735"/>
    <mergeCell ref="G731:H731"/>
    <mergeCell ref="A303:B303"/>
    <mergeCell ref="G303:H303"/>
    <mergeCell ref="A304:B304"/>
    <mergeCell ref="G304:H304"/>
    <mergeCell ref="A305:B305"/>
    <mergeCell ref="G305:H305"/>
    <mergeCell ref="A306:B306"/>
    <mergeCell ref="G306:H306"/>
    <mergeCell ref="A307:B307"/>
    <mergeCell ref="G307:H307"/>
    <mergeCell ref="A308:B308"/>
    <mergeCell ref="G308:H308"/>
    <mergeCell ref="A309:H309"/>
    <mergeCell ref="A316:B316"/>
    <mergeCell ref="G316:H316"/>
    <mergeCell ref="C653:H654"/>
    <mergeCell ref="A654:B654"/>
    <mergeCell ref="A397:C397"/>
    <mergeCell ref="G397:H397"/>
    <mergeCell ref="A398:B398"/>
    <mergeCell ref="G398:H398"/>
    <mergeCell ref="A399:B399"/>
    <mergeCell ref="G399:H399"/>
    <mergeCell ref="A400:B400"/>
    <mergeCell ref="G400:H400"/>
    <mergeCell ref="A401:B401"/>
    <mergeCell ref="G401:H401"/>
    <mergeCell ref="A402:B402"/>
    <mergeCell ref="G402:H402"/>
    <mergeCell ref="A403:B403"/>
    <mergeCell ref="G403:H403"/>
    <mergeCell ref="A404:B404"/>
    <mergeCell ref="A670:B671"/>
    <mergeCell ref="G670:H670"/>
    <mergeCell ref="G671:H671"/>
    <mergeCell ref="A672:H672"/>
    <mergeCell ref="C674:H675"/>
    <mergeCell ref="A675:B675"/>
    <mergeCell ref="A676:C676"/>
    <mergeCell ref="A677:B678"/>
    <mergeCell ref="A679:H679"/>
    <mergeCell ref="A709:H709"/>
    <mergeCell ref="A683:B683"/>
    <mergeCell ref="C683:H684"/>
    <mergeCell ref="A684:B684"/>
    <mergeCell ref="A317:B317"/>
    <mergeCell ref="G317:H317"/>
    <mergeCell ref="A318:B318"/>
    <mergeCell ref="G318:H318"/>
    <mergeCell ref="A319:B319"/>
    <mergeCell ref="G319:H319"/>
    <mergeCell ref="A320:B320"/>
    <mergeCell ref="G320:H320"/>
    <mergeCell ref="A328:B328"/>
    <mergeCell ref="G328:H328"/>
    <mergeCell ref="A329:B329"/>
    <mergeCell ref="G329:H329"/>
    <mergeCell ref="A330:B330"/>
    <mergeCell ref="G330:H330"/>
    <mergeCell ref="A331:B331"/>
    <mergeCell ref="G331:H331"/>
    <mergeCell ref="A685:C685"/>
    <mergeCell ref="G687:H687"/>
    <mergeCell ref="A688:H688"/>
    <mergeCell ref="A690:B690"/>
    <mergeCell ref="C690:H691"/>
    <mergeCell ref="A691:B691"/>
    <mergeCell ref="A692:C692"/>
    <mergeCell ref="G692:H692"/>
    <mergeCell ref="A693:B694"/>
    <mergeCell ref="G693:H693"/>
    <mergeCell ref="G694:H694"/>
    <mergeCell ref="A695:H695"/>
    <mergeCell ref="A697:B697"/>
    <mergeCell ref="C697:H698"/>
    <mergeCell ref="A698:B698"/>
    <mergeCell ref="A736:C736"/>
    <mergeCell ref="G736:H736"/>
    <mergeCell ref="A727:B727"/>
    <mergeCell ref="C727:H728"/>
    <mergeCell ref="A728:B728"/>
    <mergeCell ref="A729:C729"/>
    <mergeCell ref="G729:H729"/>
    <mergeCell ref="A730:B731"/>
    <mergeCell ref="A716:H716"/>
    <mergeCell ref="A711:B711"/>
    <mergeCell ref="C711:H712"/>
    <mergeCell ref="A712:B712"/>
    <mergeCell ref="A713:C713"/>
    <mergeCell ref="G713:H713"/>
    <mergeCell ref="A725:I725"/>
    <mergeCell ref="A699:C699"/>
    <mergeCell ref="G699:H699"/>
    <mergeCell ref="A700:B701"/>
    <mergeCell ref="G700:H700"/>
    <mergeCell ref="G701:H701"/>
    <mergeCell ref="A844:A847"/>
    <mergeCell ref="A843:B843"/>
    <mergeCell ref="A834:B834"/>
    <mergeCell ref="C834:H835"/>
    <mergeCell ref="A835:B835"/>
    <mergeCell ref="A836:C836"/>
    <mergeCell ref="A837:B838"/>
    <mergeCell ref="A839:H839"/>
    <mergeCell ref="G836:H836"/>
    <mergeCell ref="G837:H837"/>
    <mergeCell ref="G838:H838"/>
    <mergeCell ref="A751:B753"/>
    <mergeCell ref="G751:H751"/>
    <mergeCell ref="G753:H753"/>
    <mergeCell ref="A754:H754"/>
    <mergeCell ref="A756:B756"/>
    <mergeCell ref="C756:H757"/>
    <mergeCell ref="A757:B757"/>
    <mergeCell ref="A773:C773"/>
    <mergeCell ref="A759:B761"/>
    <mergeCell ref="G759:H759"/>
    <mergeCell ref="G761:H761"/>
    <mergeCell ref="A767:B768"/>
    <mergeCell ref="G767:H767"/>
    <mergeCell ref="G768:H768"/>
    <mergeCell ref="A769:H769"/>
    <mergeCell ref="A771:B771"/>
    <mergeCell ref="C771:H772"/>
    <mergeCell ref="A772:B772"/>
    <mergeCell ref="A797:B798"/>
    <mergeCell ref="G797:H797"/>
    <mergeCell ref="G798:H798"/>
    <mergeCell ref="A33:B33"/>
    <mergeCell ref="G33:H33"/>
    <mergeCell ref="A34:B34"/>
    <mergeCell ref="G34:H34"/>
    <mergeCell ref="A35:B35"/>
    <mergeCell ref="G35:H35"/>
    <mergeCell ref="A36:B36"/>
    <mergeCell ref="G36:H36"/>
    <mergeCell ref="A37:B37"/>
    <mergeCell ref="G37:H37"/>
    <mergeCell ref="A38:B38"/>
    <mergeCell ref="G38:H38"/>
    <mergeCell ref="A39:B39"/>
    <mergeCell ref="G39:H39"/>
    <mergeCell ref="A45:B45"/>
    <mergeCell ref="G45:H45"/>
    <mergeCell ref="A67:B67"/>
    <mergeCell ref="G67:H67"/>
    <mergeCell ref="A46:H46"/>
    <mergeCell ref="A48:B48"/>
    <mergeCell ref="C48:H49"/>
    <mergeCell ref="A49:B49"/>
    <mergeCell ref="A52:B52"/>
    <mergeCell ref="G52:H52"/>
    <mergeCell ref="A53:B53"/>
    <mergeCell ref="G53:H53"/>
    <mergeCell ref="A54:B54"/>
    <mergeCell ref="G54:H54"/>
    <mergeCell ref="A50:C50"/>
    <mergeCell ref="G50:H50"/>
    <mergeCell ref="A51:B51"/>
    <mergeCell ref="G51:H51"/>
    <mergeCell ref="A88:B88"/>
    <mergeCell ref="G88:H88"/>
    <mergeCell ref="A89:B89"/>
    <mergeCell ref="G89:H89"/>
    <mergeCell ref="A90:B90"/>
    <mergeCell ref="G90:H90"/>
    <mergeCell ref="A91:B91"/>
    <mergeCell ref="G91:H91"/>
    <mergeCell ref="A94:B94"/>
    <mergeCell ref="G94:H94"/>
    <mergeCell ref="A40:B40"/>
    <mergeCell ref="G40:H40"/>
    <mergeCell ref="A41:B41"/>
    <mergeCell ref="G41:H41"/>
    <mergeCell ref="A42:B42"/>
    <mergeCell ref="G42:H42"/>
    <mergeCell ref="A43:B43"/>
    <mergeCell ref="G43:H43"/>
    <mergeCell ref="A44:B44"/>
    <mergeCell ref="G44:H44"/>
    <mergeCell ref="A73:B73"/>
    <mergeCell ref="G73:H73"/>
    <mergeCell ref="A74:B74"/>
    <mergeCell ref="G74:H74"/>
    <mergeCell ref="A75:B75"/>
    <mergeCell ref="G75:H75"/>
    <mergeCell ref="A76:B76"/>
    <mergeCell ref="G76:H76"/>
    <mergeCell ref="A77:B77"/>
    <mergeCell ref="G77:H77"/>
    <mergeCell ref="A55:B55"/>
    <mergeCell ref="G55:H55"/>
    <mergeCell ref="A155:B155"/>
    <mergeCell ref="A156:B156"/>
    <mergeCell ref="A175:B175"/>
    <mergeCell ref="A176:B176"/>
    <mergeCell ref="A177:B177"/>
    <mergeCell ref="A178:B178"/>
    <mergeCell ref="A197:B197"/>
    <mergeCell ref="G197:H197"/>
    <mergeCell ref="A198:B198"/>
    <mergeCell ref="G198:H198"/>
    <mergeCell ref="A199:B199"/>
    <mergeCell ref="G199:H199"/>
    <mergeCell ref="A200:B200"/>
    <mergeCell ref="G200:H200"/>
    <mergeCell ref="A201:B201"/>
    <mergeCell ref="G201:H201"/>
    <mergeCell ref="A395:B395"/>
    <mergeCell ref="C395:H396"/>
    <mergeCell ref="A396:B396"/>
    <mergeCell ref="A332:B332"/>
    <mergeCell ref="G332:H332"/>
    <mergeCell ref="A323:B323"/>
    <mergeCell ref="C323:H324"/>
    <mergeCell ref="A324:B324"/>
    <mergeCell ref="A325:C325"/>
    <mergeCell ref="G325:H325"/>
    <mergeCell ref="A326:B326"/>
    <mergeCell ref="G326:H326"/>
    <mergeCell ref="A327:B327"/>
    <mergeCell ref="G327:H327"/>
    <mergeCell ref="A333:H333"/>
    <mergeCell ref="A311:B311"/>
    <mergeCell ref="G404:H404"/>
    <mergeCell ref="A405:H405"/>
    <mergeCell ref="A476:B476"/>
    <mergeCell ref="G476:H476"/>
    <mergeCell ref="A477:B477"/>
    <mergeCell ref="G477:H477"/>
    <mergeCell ref="A478:B478"/>
    <mergeCell ref="G478:H478"/>
    <mergeCell ref="A479:B479"/>
    <mergeCell ref="G479:H479"/>
    <mergeCell ref="A552:B552"/>
    <mergeCell ref="C552:H553"/>
    <mergeCell ref="A553:B553"/>
    <mergeCell ref="A554:C554"/>
    <mergeCell ref="G554:H554"/>
    <mergeCell ref="A555:B555"/>
    <mergeCell ref="G555:H555"/>
    <mergeCell ref="A439:B439"/>
    <mergeCell ref="G439:H439"/>
    <mergeCell ref="A440:H440"/>
    <mergeCell ref="A453:B453"/>
    <mergeCell ref="G453:H453"/>
    <mergeCell ref="A454:B454"/>
    <mergeCell ref="G454:H454"/>
    <mergeCell ref="A424:B424"/>
    <mergeCell ref="G424:H424"/>
    <mergeCell ref="A425:B425"/>
    <mergeCell ref="G425:H425"/>
    <mergeCell ref="A426:B426"/>
    <mergeCell ref="G426:H426"/>
    <mergeCell ref="A427:B427"/>
    <mergeCell ref="A475:B475"/>
    <mergeCell ref="A556:B556"/>
    <mergeCell ref="G556:H556"/>
    <mergeCell ref="A557:B557"/>
    <mergeCell ref="G557:H557"/>
    <mergeCell ref="A558:B558"/>
    <mergeCell ref="G558:H558"/>
    <mergeCell ref="A559:B559"/>
    <mergeCell ref="G559:H559"/>
    <mergeCell ref="A560:B560"/>
    <mergeCell ref="G560:H560"/>
    <mergeCell ref="A561:B561"/>
    <mergeCell ref="G561:H561"/>
    <mergeCell ref="A562:B562"/>
    <mergeCell ref="G562:H562"/>
    <mergeCell ref="A563:H563"/>
    <mergeCell ref="A430:B430"/>
    <mergeCell ref="C430:H431"/>
    <mergeCell ref="A431:B431"/>
    <mergeCell ref="A432:C432"/>
    <mergeCell ref="G432:H432"/>
    <mergeCell ref="A433:B433"/>
    <mergeCell ref="G433:H433"/>
    <mergeCell ref="A434:B434"/>
    <mergeCell ref="G434:H434"/>
    <mergeCell ref="A435:B435"/>
    <mergeCell ref="G435:H435"/>
    <mergeCell ref="A436:B436"/>
    <mergeCell ref="G436:H436"/>
    <mergeCell ref="A437:B437"/>
    <mergeCell ref="G437:H437"/>
    <mergeCell ref="A438:B438"/>
    <mergeCell ref="G438:H438"/>
  </mergeCells>
  <pageMargins left="0.7" right="0.7" top="1" bottom="0.75" header="0.3" footer="0.3"/>
  <pageSetup scale="57" fitToHeight="0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O2966"/>
  <sheetViews>
    <sheetView showGridLines="0" view="pageBreakPreview" topLeftCell="A1924" zoomScale="89" zoomScaleNormal="89" zoomScaleSheetLayoutView="89" workbookViewId="0">
      <selection activeCell="B1927" sqref="B1927:C1927"/>
    </sheetView>
  </sheetViews>
  <sheetFormatPr baseColWidth="10" defaultColWidth="11.44140625" defaultRowHeight="17.2" customHeight="1" x14ac:dyDescent="0.3"/>
  <cols>
    <col min="1" max="1" width="10.44140625" style="45" customWidth="1"/>
    <col min="2" max="2" width="18" style="45" customWidth="1"/>
    <col min="3" max="3" width="33.33203125" style="45" customWidth="1"/>
    <col min="4" max="4" width="11.6640625" style="45" customWidth="1"/>
    <col min="5" max="5" width="16.33203125" style="45" customWidth="1"/>
    <col min="6" max="6" width="16.109375" style="45" customWidth="1"/>
    <col min="7" max="7" width="14.88671875" style="45" customWidth="1"/>
    <col min="8" max="8" width="15.44140625" style="45" customWidth="1"/>
    <col min="9" max="9" width="13" style="54" customWidth="1"/>
    <col min="10" max="10" width="12.5546875" style="54" bestFit="1" customWidth="1"/>
    <col min="11" max="13" width="11.44140625" style="54"/>
    <col min="14" max="14" width="14.5546875" style="54" customWidth="1"/>
    <col min="15" max="16384" width="11.44140625" style="54"/>
  </cols>
  <sheetData>
    <row r="1" spans="1:8" ht="17.2" customHeight="1" x14ac:dyDescent="0.3">
      <c r="A1" s="556"/>
      <c r="B1" s="557"/>
      <c r="C1" s="380" t="s">
        <v>2</v>
      </c>
      <c r="D1" s="382" t="s">
        <v>3</v>
      </c>
      <c r="E1" s="383"/>
      <c r="F1" s="1">
        <v>103</v>
      </c>
      <c r="G1" s="548"/>
      <c r="H1" s="549"/>
    </row>
    <row r="2" spans="1:8" ht="17.2" customHeight="1" x14ac:dyDescent="0.3">
      <c r="A2" s="558"/>
      <c r="B2" s="559"/>
      <c r="C2" s="381"/>
      <c r="D2" s="396" t="s">
        <v>4</v>
      </c>
      <c r="E2" s="397"/>
      <c r="F2" s="400">
        <v>51</v>
      </c>
      <c r="G2" s="550"/>
      <c r="H2" s="551"/>
    </row>
    <row r="3" spans="1:8" ht="17.2" customHeight="1" x14ac:dyDescent="0.3">
      <c r="A3" s="558"/>
      <c r="B3" s="559"/>
      <c r="C3" s="5" t="s">
        <v>5</v>
      </c>
      <c r="D3" s="398"/>
      <c r="E3" s="399"/>
      <c r="F3" s="401"/>
      <c r="G3" s="550"/>
      <c r="H3" s="551"/>
    </row>
    <row r="4" spans="1:8" ht="27.65" customHeight="1" x14ac:dyDescent="0.3">
      <c r="A4" s="558"/>
      <c r="B4" s="559"/>
      <c r="C4" s="55" t="s">
        <v>6</v>
      </c>
      <c r="D4" s="402" t="s">
        <v>7</v>
      </c>
      <c r="E4" s="403"/>
      <c r="F4" s="7">
        <v>1</v>
      </c>
      <c r="G4" s="550"/>
      <c r="H4" s="551"/>
    </row>
    <row r="5" spans="1:8" ht="17.2" customHeight="1" x14ac:dyDescent="0.3">
      <c r="A5" s="558"/>
      <c r="B5" s="559"/>
      <c r="C5" s="530" t="s">
        <v>8</v>
      </c>
      <c r="D5" s="532" t="s">
        <v>9</v>
      </c>
      <c r="E5" s="533"/>
      <c r="F5" s="5" t="s">
        <v>10</v>
      </c>
      <c r="G5" s="550"/>
      <c r="H5" s="551"/>
    </row>
    <row r="6" spans="1:8" ht="17.2" customHeight="1" x14ac:dyDescent="0.3">
      <c r="A6" s="560"/>
      <c r="B6" s="561"/>
      <c r="C6" s="531"/>
      <c r="D6" s="534"/>
      <c r="E6" s="535"/>
      <c r="F6" s="8">
        <f>[10]PRESUPUESTO!F6</f>
        <v>45402</v>
      </c>
      <c r="G6" s="552"/>
      <c r="H6" s="553"/>
    </row>
    <row r="7" spans="1:8" ht="17.2" customHeight="1" thickBot="1" x14ac:dyDescent="0.35">
      <c r="A7" s="536"/>
      <c r="B7" s="537"/>
      <c r="C7" s="537"/>
      <c r="D7" s="537"/>
      <c r="E7" s="537"/>
      <c r="F7" s="537"/>
      <c r="G7" s="537"/>
      <c r="H7" s="538"/>
    </row>
    <row r="8" spans="1:8" ht="24.55" customHeight="1" x14ac:dyDescent="0.3">
      <c r="A8" s="570" t="str">
        <f>PRESUPUESTO!A8</f>
        <v>AMPLIACIÓN DE MÓDULOS HABITACIONALES Y ÁREAS COMPLEMENTARIAS PARA CENTRO DE BIENESTAR EL BUEN SAMARITANO Y CENTRO DÍA DE PUERTO COLÓN DEL MUNICIPIO DE SAN MIGUEL, PUTUMAYO.</v>
      </c>
      <c r="B8" s="571"/>
      <c r="C8" s="571"/>
      <c r="D8" s="571"/>
      <c r="E8" s="571"/>
      <c r="F8" s="571"/>
      <c r="G8" s="571"/>
      <c r="H8" s="572"/>
    </row>
    <row r="9" spans="1:8" ht="20.3" customHeight="1" thickBot="1" x14ac:dyDescent="0.35">
      <c r="A9" s="573"/>
      <c r="B9" s="574"/>
      <c r="C9" s="574"/>
      <c r="D9" s="574"/>
      <c r="E9" s="574"/>
      <c r="F9" s="574"/>
      <c r="G9" s="574"/>
      <c r="H9" s="575"/>
    </row>
    <row r="10" spans="1:8" ht="17.2" customHeight="1" thickBot="1" x14ac:dyDescent="0.35">
      <c r="A10" s="536"/>
      <c r="B10" s="537"/>
      <c r="C10" s="537"/>
      <c r="D10" s="537"/>
      <c r="E10" s="537"/>
      <c r="F10" s="537"/>
      <c r="G10" s="537"/>
      <c r="H10" s="538"/>
    </row>
    <row r="11" spans="1:8" ht="25.7" customHeight="1" thickBot="1" x14ac:dyDescent="0.35">
      <c r="A11" s="56">
        <v>1.1000000000000001</v>
      </c>
      <c r="B11" s="539" t="str">
        <f>VLOOKUP(A11,PRESUPUESTO!$A$14:$G$71,2,)</f>
        <v xml:space="preserve">localizacion y replanteo </v>
      </c>
      <c r="C11" s="540"/>
      <c r="D11" s="540"/>
      <c r="E11" s="540"/>
      <c r="F11" s="541"/>
      <c r="G11" s="57" t="s">
        <v>31</v>
      </c>
      <c r="H11" s="58" t="str">
        <f>VLOOKUP(A11,PRESUPUESTO!$A$14:$G$71,4,)</f>
        <v>M2</v>
      </c>
    </row>
    <row r="12" spans="1:8" ht="17.2" customHeight="1" x14ac:dyDescent="0.3">
      <c r="A12" s="59"/>
      <c r="H12" s="60"/>
    </row>
    <row r="13" spans="1:8" ht="17.2" customHeight="1" x14ac:dyDescent="0.3">
      <c r="A13" s="61" t="s">
        <v>32</v>
      </c>
      <c r="B13" s="525" t="s">
        <v>33</v>
      </c>
      <c r="C13" s="526"/>
      <c r="D13" s="526"/>
      <c r="E13" s="526"/>
      <c r="F13" s="526"/>
      <c r="G13" s="527"/>
      <c r="H13" s="60"/>
    </row>
    <row r="14" spans="1:8" ht="17.2" customHeight="1" x14ac:dyDescent="0.3">
      <c r="A14" s="62"/>
      <c r="B14" s="518" t="s">
        <v>34</v>
      </c>
      <c r="C14" s="519"/>
      <c r="D14" s="62" t="s">
        <v>35</v>
      </c>
      <c r="E14" s="62" t="s">
        <v>36</v>
      </c>
      <c r="F14" s="62" t="s">
        <v>37</v>
      </c>
      <c r="G14" s="62" t="s">
        <v>38</v>
      </c>
      <c r="H14" s="60"/>
    </row>
    <row r="15" spans="1:8" ht="17.2" customHeight="1" x14ac:dyDescent="0.3">
      <c r="A15" s="63"/>
      <c r="B15" s="542" t="s">
        <v>39</v>
      </c>
      <c r="C15" s="543"/>
      <c r="D15" s="63"/>
      <c r="E15" s="64"/>
      <c r="F15" s="64">
        <v>0.1</v>
      </c>
      <c r="G15" s="65">
        <f>ROUND(H29*F15,2)</f>
        <v>369.44</v>
      </c>
      <c r="H15" s="66"/>
    </row>
    <row r="16" spans="1:8" ht="17.2" customHeight="1" x14ac:dyDescent="0.3">
      <c r="A16" s="63"/>
      <c r="B16" s="542"/>
      <c r="C16" s="543"/>
      <c r="D16" s="63"/>
      <c r="E16" s="64"/>
      <c r="F16" s="64"/>
      <c r="G16" s="65">
        <f>E16*F16</f>
        <v>0</v>
      </c>
      <c r="H16" s="66"/>
    </row>
    <row r="17" spans="1:11" ht="17.2" customHeight="1" x14ac:dyDescent="0.3">
      <c r="A17" s="70"/>
      <c r="E17" s="71" t="s">
        <v>40</v>
      </c>
      <c r="F17" s="71"/>
      <c r="G17" s="71"/>
      <c r="H17" s="72">
        <f>ROUND(SUM(G15:G16),2)</f>
        <v>369.44</v>
      </c>
    </row>
    <row r="18" spans="1:11" ht="17.2" customHeight="1" x14ac:dyDescent="0.3">
      <c r="A18" s="61" t="s">
        <v>41</v>
      </c>
      <c r="B18" s="525" t="s">
        <v>42</v>
      </c>
      <c r="C18" s="526"/>
      <c r="D18" s="526"/>
      <c r="E18" s="526"/>
      <c r="F18" s="526"/>
      <c r="G18" s="527"/>
      <c r="H18" s="73"/>
    </row>
    <row r="19" spans="1:11" ht="17.2" customHeight="1" x14ac:dyDescent="0.3">
      <c r="A19" s="62"/>
      <c r="B19" s="518" t="s">
        <v>34</v>
      </c>
      <c r="C19" s="519"/>
      <c r="D19" s="62" t="s">
        <v>43</v>
      </c>
      <c r="E19" s="74" t="s">
        <v>44</v>
      </c>
      <c r="F19" s="74" t="s">
        <v>45</v>
      </c>
      <c r="G19" s="74" t="s">
        <v>38</v>
      </c>
      <c r="H19" s="73"/>
    </row>
    <row r="20" spans="1:11" ht="17.2" customHeight="1" x14ac:dyDescent="0.3">
      <c r="A20" s="63"/>
      <c r="B20" s="576" t="s">
        <v>199</v>
      </c>
      <c r="C20" s="577"/>
      <c r="D20" s="93" t="s">
        <v>200</v>
      </c>
      <c r="E20" s="75">
        <v>0.5</v>
      </c>
      <c r="F20" s="67">
        <v>10000</v>
      </c>
      <c r="G20" s="67">
        <f>E20*F20</f>
        <v>5000</v>
      </c>
      <c r="H20" s="73"/>
      <c r="K20" s="54" t="s">
        <v>204</v>
      </c>
    </row>
    <row r="21" spans="1:11" ht="17.2" customHeight="1" x14ac:dyDescent="0.3">
      <c r="A21" s="63"/>
      <c r="B21" s="576" t="s">
        <v>201</v>
      </c>
      <c r="C21" s="577"/>
      <c r="D21" s="93" t="s">
        <v>202</v>
      </c>
      <c r="E21" s="75">
        <v>0.02</v>
      </c>
      <c r="F21" s="67">
        <v>5000</v>
      </c>
      <c r="G21" s="67">
        <f>E21*F21</f>
        <v>100</v>
      </c>
      <c r="H21" s="73"/>
    </row>
    <row r="22" spans="1:11" ht="17.2" customHeight="1" x14ac:dyDescent="0.3">
      <c r="A22" s="63"/>
      <c r="B22" s="576" t="s">
        <v>203</v>
      </c>
      <c r="C22" s="577"/>
      <c r="D22" s="93" t="s">
        <v>200</v>
      </c>
      <c r="E22" s="75">
        <v>0.01</v>
      </c>
      <c r="F22" s="67">
        <v>6200</v>
      </c>
      <c r="G22" s="67">
        <f>E22*F22</f>
        <v>62</v>
      </c>
      <c r="H22" s="73"/>
    </row>
    <row r="23" spans="1:11" ht="17.2" customHeight="1" x14ac:dyDescent="0.3">
      <c r="A23" s="70" t="s">
        <v>46</v>
      </c>
      <c r="E23" s="71" t="s">
        <v>47</v>
      </c>
      <c r="F23" s="71"/>
      <c r="G23" s="71"/>
      <c r="H23" s="76">
        <f>ROUND(SUM(G20:G22),2)</f>
        <v>5162</v>
      </c>
    </row>
    <row r="24" spans="1:11" ht="17.2" customHeight="1" x14ac:dyDescent="0.3">
      <c r="A24" s="61" t="s">
        <v>48</v>
      </c>
      <c r="B24" s="525" t="s">
        <v>49</v>
      </c>
      <c r="C24" s="526"/>
      <c r="D24" s="526"/>
      <c r="E24" s="526"/>
      <c r="F24" s="526"/>
      <c r="G24" s="527"/>
      <c r="H24" s="73"/>
    </row>
    <row r="25" spans="1:11" ht="17.2" customHeight="1" x14ac:dyDescent="0.3">
      <c r="A25" s="62" t="s">
        <v>50</v>
      </c>
      <c r="B25" s="62" t="s">
        <v>34</v>
      </c>
      <c r="C25" s="62" t="s">
        <v>51</v>
      </c>
      <c r="D25" s="62" t="s">
        <v>52</v>
      </c>
      <c r="E25" s="74" t="s">
        <v>53</v>
      </c>
      <c r="F25" s="64" t="s">
        <v>186</v>
      </c>
      <c r="G25" s="64" t="s">
        <v>38</v>
      </c>
      <c r="H25" s="73"/>
    </row>
    <row r="26" spans="1:11" ht="17.2" customHeight="1" x14ac:dyDescent="0.3">
      <c r="A26" s="62">
        <v>1</v>
      </c>
      <c r="B26" s="63" t="s">
        <v>79</v>
      </c>
      <c r="C26" s="77">
        <v>120000</v>
      </c>
      <c r="D26" s="78">
        <v>0.75</v>
      </c>
      <c r="E26" s="79">
        <f>+(A26*C26)+(A26*C26*D26)</f>
        <v>210000</v>
      </c>
      <c r="F26" s="75">
        <v>90</v>
      </c>
      <c r="G26" s="65">
        <f>ROUND(E26/(F26),2)</f>
        <v>2333.33</v>
      </c>
      <c r="H26" s="73"/>
    </row>
    <row r="27" spans="1:11" ht="17.2" customHeight="1" x14ac:dyDescent="0.3">
      <c r="A27" s="62">
        <v>1</v>
      </c>
      <c r="B27" s="63" t="s">
        <v>80</v>
      </c>
      <c r="C27" s="77">
        <v>70000</v>
      </c>
      <c r="D27" s="78">
        <v>0.75</v>
      </c>
      <c r="E27" s="79">
        <f>+(A27*C27)+(A27*C27*D27)</f>
        <v>122500</v>
      </c>
      <c r="F27" s="75">
        <v>90</v>
      </c>
      <c r="G27" s="65">
        <f>ROUND(E27/(F27),2)</f>
        <v>1361.11</v>
      </c>
      <c r="H27" s="73"/>
    </row>
    <row r="28" spans="1:11" ht="17.2" customHeight="1" x14ac:dyDescent="0.3">
      <c r="A28" s="63"/>
      <c r="B28" s="63"/>
      <c r="C28" s="63"/>
      <c r="D28" s="63"/>
      <c r="E28" s="64"/>
      <c r="F28" s="64"/>
      <c r="G28" s="64"/>
      <c r="H28" s="73"/>
    </row>
    <row r="29" spans="1:11" ht="17.2" customHeight="1" x14ac:dyDescent="0.3">
      <c r="A29" s="70"/>
      <c r="E29" s="71" t="s">
        <v>54</v>
      </c>
      <c r="F29" s="71"/>
      <c r="G29" s="71"/>
      <c r="H29" s="72">
        <f>ROUND(SUM(G26)+(G27),2)</f>
        <v>3694.44</v>
      </c>
    </row>
    <row r="30" spans="1:11" ht="17.2" customHeight="1" x14ac:dyDescent="0.3">
      <c r="A30" s="61" t="s">
        <v>55</v>
      </c>
      <c r="B30" s="525" t="s">
        <v>56</v>
      </c>
      <c r="C30" s="526"/>
      <c r="D30" s="526"/>
      <c r="E30" s="526"/>
      <c r="F30" s="526"/>
      <c r="G30" s="527"/>
      <c r="H30" s="73"/>
    </row>
    <row r="31" spans="1:11" ht="17.2" customHeight="1" x14ac:dyDescent="0.3">
      <c r="A31" s="63"/>
      <c r="B31" s="63" t="s">
        <v>34</v>
      </c>
      <c r="C31" s="62" t="s">
        <v>43</v>
      </c>
      <c r="D31" s="62" t="s">
        <v>57</v>
      </c>
      <c r="E31" s="62" t="s">
        <v>58</v>
      </c>
      <c r="F31" s="62"/>
      <c r="G31" s="64" t="s">
        <v>59</v>
      </c>
      <c r="H31" s="73"/>
    </row>
    <row r="32" spans="1:11" ht="17.2" customHeight="1" x14ac:dyDescent="0.3">
      <c r="A32" s="63"/>
      <c r="B32" s="63"/>
      <c r="C32" s="80"/>
      <c r="D32" s="63"/>
      <c r="E32" s="64"/>
      <c r="F32" s="64"/>
      <c r="G32" s="64"/>
      <c r="H32" s="73"/>
    </row>
    <row r="33" spans="1:8" ht="17.2" customHeight="1" x14ac:dyDescent="0.3">
      <c r="A33" s="63"/>
      <c r="B33" s="63"/>
      <c r="C33" s="81"/>
      <c r="D33" s="63"/>
      <c r="E33" s="64"/>
      <c r="F33" s="64"/>
      <c r="G33" s="64"/>
      <c r="H33" s="73"/>
    </row>
    <row r="34" spans="1:8" ht="17.2" customHeight="1" x14ac:dyDescent="0.3">
      <c r="A34" s="63"/>
      <c r="B34" s="63"/>
      <c r="C34" s="63"/>
      <c r="D34" s="63"/>
      <c r="E34" s="64"/>
      <c r="F34" s="64"/>
      <c r="G34" s="64"/>
      <c r="H34" s="73"/>
    </row>
    <row r="35" spans="1:8" ht="17.2" customHeight="1" x14ac:dyDescent="0.3">
      <c r="A35" s="70"/>
      <c r="E35" s="71" t="s">
        <v>54</v>
      </c>
      <c r="F35" s="71"/>
      <c r="G35" s="71"/>
      <c r="H35" s="76">
        <f>ROUND(SUM(G32)+(G33),0)</f>
        <v>0</v>
      </c>
    </row>
    <row r="36" spans="1:8" ht="17.2" customHeight="1" x14ac:dyDescent="0.3">
      <c r="A36" s="59"/>
      <c r="E36" s="71"/>
      <c r="F36" s="71"/>
      <c r="G36" s="71"/>
      <c r="H36" s="73"/>
    </row>
    <row r="37" spans="1:8" ht="17.2" customHeight="1" x14ac:dyDescent="0.3">
      <c r="A37" s="59"/>
      <c r="D37" s="82" t="s">
        <v>60</v>
      </c>
      <c r="E37" s="83"/>
      <c r="F37" s="83"/>
      <c r="G37" s="83"/>
      <c r="H37" s="72">
        <f>ROUND(SUM(H17:H36),2)</f>
        <v>9225.8799999999992</v>
      </c>
    </row>
    <row r="38" spans="1:8" ht="17.2" customHeight="1" x14ac:dyDescent="0.3">
      <c r="A38" s="59"/>
      <c r="E38" s="71"/>
      <c r="F38" s="71"/>
      <c r="G38" s="71"/>
      <c r="H38" s="73"/>
    </row>
    <row r="39" spans="1:8" ht="17.2" customHeight="1" x14ac:dyDescent="0.3">
      <c r="A39" s="61" t="s">
        <v>61</v>
      </c>
      <c r="B39" s="525" t="s">
        <v>62</v>
      </c>
      <c r="C39" s="526"/>
      <c r="D39" s="526"/>
      <c r="E39" s="526"/>
      <c r="F39" s="526"/>
      <c r="G39" s="527"/>
      <c r="H39" s="73"/>
    </row>
    <row r="40" spans="1:8" ht="17.2" customHeight="1" x14ac:dyDescent="0.3">
      <c r="A40" s="62"/>
      <c r="B40" s="518" t="s">
        <v>34</v>
      </c>
      <c r="C40" s="519"/>
      <c r="D40" s="518" t="s">
        <v>63</v>
      </c>
      <c r="E40" s="519"/>
      <c r="F40" s="528" t="s">
        <v>64</v>
      </c>
      <c r="G40" s="529"/>
      <c r="H40" s="73"/>
    </row>
    <row r="41" spans="1:8" ht="17.2" customHeight="1" x14ac:dyDescent="0.3">
      <c r="A41" s="63"/>
      <c r="B41" s="518" t="s">
        <v>20</v>
      </c>
      <c r="C41" s="519"/>
      <c r="D41" s="520">
        <v>0.28000000000000003</v>
      </c>
      <c r="E41" s="519"/>
      <c r="F41" s="521">
        <f>+H37*D41</f>
        <v>2583.2464</v>
      </c>
      <c r="G41" s="522"/>
      <c r="H41" s="73"/>
    </row>
    <row r="42" spans="1:8" ht="17.2" customHeight="1" x14ac:dyDescent="0.3">
      <c r="A42" s="63"/>
      <c r="B42" s="518" t="s">
        <v>21</v>
      </c>
      <c r="C42" s="519"/>
      <c r="D42" s="520">
        <v>0.01</v>
      </c>
      <c r="E42" s="519"/>
      <c r="F42" s="521">
        <f>+H37*D42</f>
        <v>92.258799999999994</v>
      </c>
      <c r="G42" s="522"/>
      <c r="H42" s="73"/>
    </row>
    <row r="43" spans="1:8" ht="17.2" customHeight="1" x14ac:dyDescent="0.3">
      <c r="A43" s="63"/>
      <c r="B43" s="518" t="s">
        <v>22</v>
      </c>
      <c r="C43" s="519"/>
      <c r="D43" s="520">
        <v>0.03</v>
      </c>
      <c r="E43" s="519"/>
      <c r="F43" s="521">
        <f>+H37*D43</f>
        <v>276.77639999999997</v>
      </c>
      <c r="G43" s="522"/>
      <c r="H43" s="73"/>
    </row>
    <row r="44" spans="1:8" ht="17.2" customHeight="1" x14ac:dyDescent="0.3">
      <c r="A44" s="63"/>
      <c r="B44" s="518" t="s">
        <v>188</v>
      </c>
      <c r="C44" s="519"/>
      <c r="D44" s="520">
        <v>0.19</v>
      </c>
      <c r="E44" s="519"/>
      <c r="F44" s="521">
        <f>D44*F43</f>
        <v>52.587515999999994</v>
      </c>
      <c r="G44" s="522"/>
      <c r="H44" s="73"/>
    </row>
    <row r="45" spans="1:8" ht="17.2" customHeight="1" x14ac:dyDescent="0.3">
      <c r="A45" s="59"/>
      <c r="D45" s="82" t="s">
        <v>65</v>
      </c>
      <c r="E45" s="83"/>
      <c r="F45" s="83"/>
      <c r="G45" s="83"/>
      <c r="H45" s="72">
        <f>SUM(F41:G44)</f>
        <v>3004.8691160000003</v>
      </c>
    </row>
    <row r="46" spans="1:8" ht="17.2" customHeight="1" x14ac:dyDescent="0.3">
      <c r="A46" s="59"/>
      <c r="E46" s="71"/>
      <c r="F46" s="71"/>
      <c r="G46" s="71"/>
      <c r="H46" s="73"/>
    </row>
    <row r="47" spans="1:8" ht="17.2" customHeight="1" x14ac:dyDescent="0.3">
      <c r="A47" s="59"/>
      <c r="D47" s="82" t="s">
        <v>66</v>
      </c>
      <c r="E47" s="83"/>
      <c r="F47" s="83"/>
      <c r="G47" s="71"/>
      <c r="H47" s="72">
        <f>H37+H45</f>
        <v>12230.749115999999</v>
      </c>
    </row>
    <row r="48" spans="1:8" ht="17.2" customHeight="1" x14ac:dyDescent="0.3">
      <c r="A48" s="59"/>
      <c r="D48" s="82"/>
      <c r="E48" s="83"/>
      <c r="F48" s="83"/>
      <c r="G48" s="71"/>
      <c r="H48" s="73"/>
    </row>
    <row r="49" spans="1:8" ht="17.2" customHeight="1" x14ac:dyDescent="0.3">
      <c r="A49" s="59"/>
      <c r="E49" s="83"/>
      <c r="F49" s="83"/>
      <c r="G49" s="71"/>
      <c r="H49" s="73"/>
    </row>
    <row r="50" spans="1:8" ht="17.2" customHeight="1" x14ac:dyDescent="0.3">
      <c r="A50" s="84"/>
      <c r="B50" s="85"/>
      <c r="E50" s="46"/>
      <c r="F50" s="47"/>
      <c r="G50" s="48"/>
      <c r="H50" s="73"/>
    </row>
    <row r="51" spans="1:8" ht="17.2" customHeight="1" x14ac:dyDescent="0.3">
      <c r="A51" s="86" t="s">
        <v>67</v>
      </c>
      <c r="B51" s="50" t="s">
        <v>68</v>
      </c>
      <c r="E51" s="49" t="s">
        <v>27</v>
      </c>
      <c r="F51" s="50"/>
      <c r="G51" s="50"/>
      <c r="H51" s="87"/>
    </row>
    <row r="52" spans="1:8" ht="17.2" customHeight="1" x14ac:dyDescent="0.3">
      <c r="A52" s="88" t="s">
        <v>28</v>
      </c>
      <c r="B52" s="50"/>
      <c r="E52" s="50" t="str">
        <f ca="1">+$E$52</f>
        <v>SECRETARIO DE PLANEACION Y OBRAS PUBLICAS</v>
      </c>
      <c r="F52" s="50"/>
      <c r="G52" s="50"/>
      <c r="H52" s="87"/>
    </row>
    <row r="53" spans="1:8" ht="17.2" customHeight="1" x14ac:dyDescent="0.3">
      <c r="A53" s="88"/>
      <c r="B53" s="50"/>
      <c r="E53" s="50" t="str">
        <f ca="1">+$E$53</f>
        <v>SAN MIGUEL - PUTUMAYO</v>
      </c>
      <c r="F53" s="50"/>
      <c r="G53" s="50"/>
      <c r="H53" s="87"/>
    </row>
    <row r="54" spans="1:8" ht="17.2" customHeight="1" x14ac:dyDescent="0.3">
      <c r="A54" s="556"/>
      <c r="B54" s="557"/>
      <c r="C54" s="380" t="s">
        <v>2</v>
      </c>
      <c r="D54" s="382" t="s">
        <v>3</v>
      </c>
      <c r="E54" s="383"/>
      <c r="F54" s="1">
        <v>103</v>
      </c>
      <c r="G54" s="548"/>
      <c r="H54" s="549"/>
    </row>
    <row r="55" spans="1:8" ht="17.2" customHeight="1" x14ac:dyDescent="0.3">
      <c r="A55" s="558"/>
      <c r="B55" s="559"/>
      <c r="C55" s="381"/>
      <c r="D55" s="396" t="s">
        <v>4</v>
      </c>
      <c r="E55" s="397"/>
      <c r="F55" s="400">
        <v>51</v>
      </c>
      <c r="G55" s="550"/>
      <c r="H55" s="551"/>
    </row>
    <row r="56" spans="1:8" ht="17.2" customHeight="1" x14ac:dyDescent="0.3">
      <c r="A56" s="558"/>
      <c r="B56" s="559"/>
      <c r="C56" s="5" t="s">
        <v>5</v>
      </c>
      <c r="D56" s="398"/>
      <c r="E56" s="399"/>
      <c r="F56" s="401"/>
      <c r="G56" s="550"/>
      <c r="H56" s="551"/>
    </row>
    <row r="57" spans="1:8" ht="26.85" customHeight="1" x14ac:dyDescent="0.3">
      <c r="A57" s="558"/>
      <c r="B57" s="559"/>
      <c r="C57" s="55" t="s">
        <v>6</v>
      </c>
      <c r="D57" s="402" t="s">
        <v>7</v>
      </c>
      <c r="E57" s="403"/>
      <c r="F57" s="7">
        <v>1</v>
      </c>
      <c r="G57" s="550"/>
      <c r="H57" s="551"/>
    </row>
    <row r="58" spans="1:8" ht="17.2" customHeight="1" x14ac:dyDescent="0.3">
      <c r="A58" s="558"/>
      <c r="B58" s="559"/>
      <c r="C58" s="530" t="s">
        <v>8</v>
      </c>
      <c r="D58" s="532" t="s">
        <v>9</v>
      </c>
      <c r="E58" s="533"/>
      <c r="F58" s="5" t="s">
        <v>10</v>
      </c>
      <c r="G58" s="550"/>
      <c r="H58" s="551"/>
    </row>
    <row r="59" spans="1:8" ht="17.2" customHeight="1" x14ac:dyDescent="0.3">
      <c r="A59" s="560"/>
      <c r="B59" s="561"/>
      <c r="C59" s="531"/>
      <c r="D59" s="534"/>
      <c r="E59" s="535"/>
      <c r="F59" s="8">
        <f>$F$6</f>
        <v>45402</v>
      </c>
      <c r="G59" s="552"/>
      <c r="H59" s="553"/>
    </row>
    <row r="60" spans="1:8" ht="17.2" customHeight="1" thickBot="1" x14ac:dyDescent="0.35">
      <c r="A60" s="536"/>
      <c r="B60" s="537"/>
      <c r="C60" s="537"/>
      <c r="D60" s="537"/>
      <c r="E60" s="537"/>
      <c r="F60" s="537"/>
      <c r="G60" s="537"/>
      <c r="H60" s="538"/>
    </row>
    <row r="61" spans="1:8" ht="31.6" customHeight="1" thickBot="1" x14ac:dyDescent="0.35">
      <c r="A61" s="92">
        <v>1.2</v>
      </c>
      <c r="B61" s="539" t="str">
        <f>VLOOKUP(A61,PRESUPUESTO!$A$14:$G$71,2,)</f>
        <v>Desmonte de pasamanos metálico auto portante con anclaje a piso existente y anclaje lateral a muro existente</v>
      </c>
      <c r="C61" s="540"/>
      <c r="D61" s="540"/>
      <c r="E61" s="540"/>
      <c r="F61" s="541"/>
      <c r="G61" s="57" t="s">
        <v>31</v>
      </c>
      <c r="H61" s="58" t="str">
        <f>VLOOKUP(A61,PRESUPUESTO!$A$14:$G$71,4,)</f>
        <v>ML</v>
      </c>
    </row>
    <row r="62" spans="1:8" ht="17.2" customHeight="1" x14ac:dyDescent="0.3">
      <c r="A62" s="59"/>
      <c r="H62" s="60"/>
    </row>
    <row r="63" spans="1:8" ht="17.2" customHeight="1" x14ac:dyDescent="0.3">
      <c r="A63" s="61" t="s">
        <v>32</v>
      </c>
      <c r="B63" s="525" t="s">
        <v>33</v>
      </c>
      <c r="C63" s="526"/>
      <c r="D63" s="526"/>
      <c r="E63" s="526"/>
      <c r="F63" s="526"/>
      <c r="G63" s="527"/>
      <c r="H63" s="60"/>
    </row>
    <row r="64" spans="1:8" ht="17.2" customHeight="1" x14ac:dyDescent="0.3">
      <c r="A64" s="62"/>
      <c r="B64" s="518" t="s">
        <v>34</v>
      </c>
      <c r="C64" s="519"/>
      <c r="D64" s="62" t="s">
        <v>35</v>
      </c>
      <c r="E64" s="62" t="s">
        <v>69</v>
      </c>
      <c r="F64" s="62" t="s">
        <v>70</v>
      </c>
      <c r="G64" s="62" t="s">
        <v>38</v>
      </c>
      <c r="H64" s="60"/>
    </row>
    <row r="65" spans="1:8" ht="17.2" customHeight="1" x14ac:dyDescent="0.3">
      <c r="A65" s="63"/>
      <c r="B65" s="542" t="s">
        <v>39</v>
      </c>
      <c r="C65" s="543"/>
      <c r="D65" s="62"/>
      <c r="E65" s="64"/>
      <c r="F65" s="64">
        <v>0.1</v>
      </c>
      <c r="G65" s="65">
        <f>ROUND((H75*F65),2)</f>
        <v>0</v>
      </c>
      <c r="H65" s="66"/>
    </row>
    <row r="66" spans="1:8" ht="17.2" customHeight="1" x14ac:dyDescent="0.3">
      <c r="A66" s="63"/>
      <c r="B66" s="562" t="s">
        <v>373</v>
      </c>
      <c r="C66" s="563"/>
      <c r="D66" s="62" t="s">
        <v>363</v>
      </c>
      <c r="E66" s="64">
        <v>50000</v>
      </c>
      <c r="F66" s="64">
        <v>0.1</v>
      </c>
      <c r="G66" s="65">
        <f>F66*E66</f>
        <v>5000</v>
      </c>
      <c r="H66" s="66"/>
    </row>
    <row r="67" spans="1:8" ht="17.2" customHeight="1" x14ac:dyDescent="0.3">
      <c r="A67" s="70"/>
      <c r="E67" s="71" t="s">
        <v>40</v>
      </c>
      <c r="F67" s="71"/>
      <c r="G67" s="71"/>
      <c r="H67" s="72">
        <f>ROUND(SUM(G65:G66),2)</f>
        <v>5000</v>
      </c>
    </row>
    <row r="68" spans="1:8" ht="17.2" customHeight="1" x14ac:dyDescent="0.3">
      <c r="A68" s="61" t="s">
        <v>41</v>
      </c>
      <c r="B68" s="525" t="s">
        <v>42</v>
      </c>
      <c r="C68" s="526"/>
      <c r="D68" s="526"/>
      <c r="E68" s="526"/>
      <c r="F68" s="526"/>
      <c r="G68" s="527"/>
      <c r="H68" s="73"/>
    </row>
    <row r="69" spans="1:8" ht="17.2" customHeight="1" x14ac:dyDescent="0.3">
      <c r="A69" s="62"/>
      <c r="B69" s="518" t="s">
        <v>34</v>
      </c>
      <c r="C69" s="519"/>
      <c r="D69" s="62" t="s">
        <v>43</v>
      </c>
      <c r="E69" s="74" t="s">
        <v>44</v>
      </c>
      <c r="F69" s="74" t="s">
        <v>45</v>
      </c>
      <c r="G69" s="74" t="s">
        <v>38</v>
      </c>
      <c r="H69" s="73"/>
    </row>
    <row r="70" spans="1:8" ht="15.05" x14ac:dyDescent="0.3">
      <c r="A70" s="63"/>
      <c r="B70" s="542" t="s">
        <v>374</v>
      </c>
      <c r="C70" s="543"/>
      <c r="D70" s="62" t="s">
        <v>218</v>
      </c>
      <c r="E70" s="74">
        <v>0.1</v>
      </c>
      <c r="F70" s="74">
        <v>12000</v>
      </c>
      <c r="G70" s="296">
        <f>ROUND((E70*F70),2)</f>
        <v>1200</v>
      </c>
      <c r="H70" s="73"/>
    </row>
    <row r="71" spans="1:8" ht="17.2" customHeight="1" x14ac:dyDescent="0.3">
      <c r="A71" s="63"/>
      <c r="B71" s="523"/>
      <c r="C71" s="524"/>
      <c r="D71" s="93"/>
      <c r="E71" s="94"/>
      <c r="F71" s="95"/>
      <c r="G71" s="67"/>
      <c r="H71" s="73"/>
    </row>
    <row r="72" spans="1:8" ht="17.2" customHeight="1" x14ac:dyDescent="0.3">
      <c r="A72" s="70" t="s">
        <v>46</v>
      </c>
      <c r="E72" s="71" t="s">
        <v>47</v>
      </c>
      <c r="F72" s="71"/>
      <c r="G72" s="71"/>
      <c r="H72" s="76">
        <f>ROUND(SUM(G70:G71),2)</f>
        <v>1200</v>
      </c>
    </row>
    <row r="73" spans="1:8" ht="17.2" customHeight="1" x14ac:dyDescent="0.3">
      <c r="A73" s="61" t="s">
        <v>48</v>
      </c>
      <c r="B73" s="525" t="s">
        <v>49</v>
      </c>
      <c r="C73" s="526"/>
      <c r="D73" s="526"/>
      <c r="E73" s="526"/>
      <c r="F73" s="526"/>
      <c r="G73" s="527"/>
      <c r="H73" s="73"/>
    </row>
    <row r="74" spans="1:8" ht="17.2" customHeight="1" x14ac:dyDescent="0.3">
      <c r="A74" s="62" t="s">
        <v>50</v>
      </c>
      <c r="B74" s="62" t="s">
        <v>34</v>
      </c>
      <c r="C74" s="62" t="s">
        <v>51</v>
      </c>
      <c r="D74" s="62" t="s">
        <v>52</v>
      </c>
      <c r="E74" s="74" t="s">
        <v>53</v>
      </c>
      <c r="F74" s="64" t="s">
        <v>238</v>
      </c>
      <c r="G74" s="64" t="s">
        <v>38</v>
      </c>
      <c r="H74" s="73"/>
    </row>
    <row r="75" spans="1:8" ht="17.2" customHeight="1" x14ac:dyDescent="0.3">
      <c r="A75" s="62">
        <v>1</v>
      </c>
      <c r="B75" s="63" t="s">
        <v>79</v>
      </c>
      <c r="C75" s="77">
        <v>120000</v>
      </c>
      <c r="D75" s="78">
        <v>0.75</v>
      </c>
      <c r="E75" s="79">
        <f>+(A75*C75)+(A75*C75*D75)</f>
        <v>210000</v>
      </c>
      <c r="F75" s="75">
        <v>50</v>
      </c>
      <c r="G75" s="65">
        <f>ROUND(E75/(F75),2)</f>
        <v>4200</v>
      </c>
      <c r="H75" s="73"/>
    </row>
    <row r="76" spans="1:8" ht="17.2" customHeight="1" x14ac:dyDescent="0.3">
      <c r="A76" s="62">
        <v>2</v>
      </c>
      <c r="B76" s="63" t="s">
        <v>80</v>
      </c>
      <c r="C76" s="77">
        <v>70000</v>
      </c>
      <c r="D76" s="78">
        <v>0.75</v>
      </c>
      <c r="E76" s="79">
        <f>+(A76*C76)+(A76*C76*D76)</f>
        <v>245000</v>
      </c>
      <c r="F76" s="75">
        <v>50</v>
      </c>
      <c r="G76" s="65">
        <f>ROUND(E76/(F76),2)</f>
        <v>4900</v>
      </c>
      <c r="H76" s="73"/>
    </row>
    <row r="77" spans="1:8" ht="17.2" customHeight="1" x14ac:dyDescent="0.3">
      <c r="A77" s="63"/>
      <c r="B77" s="63"/>
      <c r="C77" s="63"/>
      <c r="D77" s="63"/>
      <c r="E77" s="64"/>
      <c r="F77" s="64"/>
      <c r="G77" s="64"/>
      <c r="H77" s="73"/>
    </row>
    <row r="78" spans="1:8" ht="17.2" customHeight="1" x14ac:dyDescent="0.3">
      <c r="A78" s="70"/>
      <c r="E78" s="71" t="s">
        <v>54</v>
      </c>
      <c r="F78" s="71"/>
      <c r="G78" s="71"/>
      <c r="H78" s="72">
        <f>ROUND(SUM(G75)+(G76),2)</f>
        <v>9100</v>
      </c>
    </row>
    <row r="79" spans="1:8" ht="17.2" customHeight="1" x14ac:dyDescent="0.3">
      <c r="A79" s="61" t="s">
        <v>55</v>
      </c>
      <c r="B79" s="525" t="s">
        <v>56</v>
      </c>
      <c r="C79" s="526"/>
      <c r="D79" s="526"/>
      <c r="E79" s="526"/>
      <c r="F79" s="526"/>
      <c r="G79" s="527"/>
      <c r="H79" s="73"/>
    </row>
    <row r="80" spans="1:8" ht="17.2" customHeight="1" x14ac:dyDescent="0.3">
      <c r="A80" s="63"/>
      <c r="B80" s="63" t="s">
        <v>34</v>
      </c>
      <c r="C80" s="62" t="s">
        <v>43</v>
      </c>
      <c r="D80" s="62" t="s">
        <v>57</v>
      </c>
      <c r="E80" s="62" t="s">
        <v>58</v>
      </c>
      <c r="F80" s="62"/>
      <c r="G80" s="64" t="s">
        <v>59</v>
      </c>
      <c r="H80" s="73"/>
    </row>
    <row r="81" spans="1:8" ht="17.2" customHeight="1" x14ac:dyDescent="0.3">
      <c r="A81" s="63"/>
      <c r="B81" s="63"/>
      <c r="C81" s="80"/>
      <c r="D81" s="63"/>
      <c r="E81" s="64"/>
      <c r="F81" s="64"/>
      <c r="G81" s="64">
        <f>D81*E81</f>
        <v>0</v>
      </c>
      <c r="H81" s="73"/>
    </row>
    <row r="82" spans="1:8" ht="17.2" customHeight="1" x14ac:dyDescent="0.3">
      <c r="A82" s="63"/>
      <c r="B82" s="63"/>
      <c r="C82" s="81"/>
      <c r="D82" s="63"/>
      <c r="E82" s="64"/>
      <c r="F82" s="64"/>
      <c r="G82" s="64"/>
      <c r="H82" s="73"/>
    </row>
    <row r="83" spans="1:8" ht="17.2" customHeight="1" x14ac:dyDescent="0.3">
      <c r="A83" s="63"/>
      <c r="B83" s="63"/>
      <c r="C83" s="63"/>
      <c r="D83" s="63"/>
      <c r="E83" s="64"/>
      <c r="F83" s="64"/>
      <c r="G83" s="64"/>
      <c r="H83" s="73"/>
    </row>
    <row r="84" spans="1:8" ht="17.2" customHeight="1" x14ac:dyDescent="0.3">
      <c r="A84" s="70"/>
      <c r="E84" s="71" t="s">
        <v>54</v>
      </c>
      <c r="F84" s="71"/>
      <c r="G84" s="71"/>
      <c r="H84" s="119">
        <f>ROUND(SUM(G81)+(G82),0)</f>
        <v>0</v>
      </c>
    </row>
    <row r="85" spans="1:8" ht="17.2" customHeight="1" x14ac:dyDescent="0.3">
      <c r="A85" s="59"/>
      <c r="E85" s="71"/>
      <c r="F85" s="71"/>
      <c r="G85" s="71"/>
      <c r="H85" s="73"/>
    </row>
    <row r="86" spans="1:8" ht="17.2" customHeight="1" x14ac:dyDescent="0.3">
      <c r="A86" s="59"/>
      <c r="D86" s="82" t="s">
        <v>60</v>
      </c>
      <c r="E86" s="83"/>
      <c r="F86" s="83"/>
      <c r="G86" s="83"/>
      <c r="H86" s="72">
        <f>ROUND(SUM(H67:H85),2)</f>
        <v>15300</v>
      </c>
    </row>
    <row r="87" spans="1:8" ht="17.2" customHeight="1" x14ac:dyDescent="0.3">
      <c r="A87" s="59"/>
      <c r="E87" s="71"/>
      <c r="F87" s="71"/>
      <c r="G87" s="71"/>
      <c r="H87" s="73"/>
    </row>
    <row r="88" spans="1:8" ht="17.2" customHeight="1" x14ac:dyDescent="0.3">
      <c r="A88" s="61" t="s">
        <v>61</v>
      </c>
      <c r="B88" s="525" t="s">
        <v>62</v>
      </c>
      <c r="C88" s="526"/>
      <c r="D88" s="526"/>
      <c r="E88" s="526"/>
      <c r="F88" s="526"/>
      <c r="G88" s="527"/>
      <c r="H88" s="73"/>
    </row>
    <row r="89" spans="1:8" ht="17.2" customHeight="1" x14ac:dyDescent="0.3">
      <c r="A89" s="62"/>
      <c r="B89" s="518" t="s">
        <v>34</v>
      </c>
      <c r="C89" s="519"/>
      <c r="D89" s="518" t="s">
        <v>63</v>
      </c>
      <c r="E89" s="519"/>
      <c r="F89" s="528" t="s">
        <v>64</v>
      </c>
      <c r="G89" s="529"/>
      <c r="H89" s="73"/>
    </row>
    <row r="90" spans="1:8" ht="17.2" customHeight="1" x14ac:dyDescent="0.3">
      <c r="A90" s="63"/>
      <c r="B90" s="518" t="s">
        <v>20</v>
      </c>
      <c r="C90" s="519"/>
      <c r="D90" s="520">
        <v>0.28000000000000003</v>
      </c>
      <c r="E90" s="519"/>
      <c r="F90" s="521">
        <f>+H86*D90</f>
        <v>4284</v>
      </c>
      <c r="G90" s="522"/>
      <c r="H90" s="73"/>
    </row>
    <row r="91" spans="1:8" ht="17.2" customHeight="1" x14ac:dyDescent="0.3">
      <c r="A91" s="63"/>
      <c r="B91" s="518" t="s">
        <v>21</v>
      </c>
      <c r="C91" s="519"/>
      <c r="D91" s="520">
        <v>0.01</v>
      </c>
      <c r="E91" s="519"/>
      <c r="F91" s="521">
        <f>+H86*D91</f>
        <v>153</v>
      </c>
      <c r="G91" s="522"/>
      <c r="H91" s="73"/>
    </row>
    <row r="92" spans="1:8" ht="17.2" customHeight="1" x14ac:dyDescent="0.3">
      <c r="A92" s="63"/>
      <c r="B92" s="518" t="s">
        <v>22</v>
      </c>
      <c r="C92" s="519"/>
      <c r="D92" s="520">
        <v>0.03</v>
      </c>
      <c r="E92" s="519"/>
      <c r="F92" s="521">
        <f>+H86*D92</f>
        <v>459</v>
      </c>
      <c r="G92" s="522"/>
      <c r="H92" s="73"/>
    </row>
    <row r="93" spans="1:8" ht="17.2" customHeight="1" x14ac:dyDescent="0.3">
      <c r="A93" s="63"/>
      <c r="B93" s="518" t="s">
        <v>188</v>
      </c>
      <c r="C93" s="519"/>
      <c r="D93" s="520">
        <v>0.19</v>
      </c>
      <c r="E93" s="519"/>
      <c r="F93" s="521">
        <f>D93*F92</f>
        <v>87.210000000000008</v>
      </c>
      <c r="G93" s="522"/>
      <c r="H93" s="73"/>
    </row>
    <row r="94" spans="1:8" ht="17.2" customHeight="1" x14ac:dyDescent="0.3">
      <c r="A94" s="59"/>
      <c r="D94" s="82" t="s">
        <v>65</v>
      </c>
      <c r="E94" s="83"/>
      <c r="F94" s="83"/>
      <c r="G94" s="83"/>
      <c r="H94" s="72">
        <f>SUM(F90:G93)</f>
        <v>4983.21</v>
      </c>
    </row>
    <row r="95" spans="1:8" ht="17.2" customHeight="1" x14ac:dyDescent="0.3">
      <c r="A95" s="59"/>
      <c r="E95" s="71"/>
      <c r="F95" s="71"/>
      <c r="G95" s="71"/>
      <c r="H95" s="73"/>
    </row>
    <row r="96" spans="1:8" ht="17.2" customHeight="1" x14ac:dyDescent="0.3">
      <c r="A96" s="59"/>
      <c r="D96" s="82" t="s">
        <v>66</v>
      </c>
      <c r="E96" s="83"/>
      <c r="F96" s="83"/>
      <c r="G96" s="71"/>
      <c r="H96" s="72">
        <f>H86+H94</f>
        <v>20283.21</v>
      </c>
    </row>
    <row r="97" spans="1:8" ht="17.2" customHeight="1" x14ac:dyDescent="0.3">
      <c r="A97" s="59"/>
      <c r="D97" s="82"/>
      <c r="E97" s="83"/>
      <c r="F97" s="83"/>
      <c r="G97" s="71"/>
      <c r="H97" s="73"/>
    </row>
    <row r="98" spans="1:8" ht="17.2" customHeight="1" x14ac:dyDescent="0.3">
      <c r="A98" s="59"/>
      <c r="E98" s="83"/>
      <c r="F98" s="83"/>
      <c r="G98" s="71"/>
      <c r="H98" s="73"/>
    </row>
    <row r="99" spans="1:8" ht="17.2" customHeight="1" x14ac:dyDescent="0.3">
      <c r="A99" s="84"/>
      <c r="B99" s="85"/>
      <c r="E99" s="46"/>
      <c r="F99" s="47"/>
      <c r="G99" s="48"/>
      <c r="H99" s="73"/>
    </row>
    <row r="100" spans="1:8" ht="17.2" customHeight="1" x14ac:dyDescent="0.3">
      <c r="A100" s="86" t="s">
        <v>67</v>
      </c>
      <c r="B100" s="50" t="s">
        <v>68</v>
      </c>
      <c r="E100" s="49" t="s">
        <v>27</v>
      </c>
      <c r="F100" s="50"/>
      <c r="G100" s="50"/>
      <c r="H100" s="87"/>
    </row>
    <row r="101" spans="1:8" ht="17.2" customHeight="1" x14ac:dyDescent="0.3">
      <c r="A101" s="88" t="s">
        <v>28</v>
      </c>
      <c r="B101" s="50"/>
      <c r="E101" s="50" t="str">
        <f ca="1">+$E$52</f>
        <v>SECRETARIO DE PLANEACION Y OBRAS PUBLICAS</v>
      </c>
      <c r="F101" s="50"/>
      <c r="G101" s="50"/>
      <c r="H101" s="87"/>
    </row>
    <row r="102" spans="1:8" ht="18.2" customHeight="1" x14ac:dyDescent="0.3">
      <c r="A102" s="88"/>
      <c r="B102" s="50"/>
      <c r="E102" s="50" t="str">
        <f ca="1">+$E$53</f>
        <v>SAN MIGUEL - PUTUMAYO</v>
      </c>
      <c r="F102" s="50"/>
      <c r="G102" s="50"/>
      <c r="H102" s="87"/>
    </row>
    <row r="103" spans="1:8" ht="17.2" customHeight="1" x14ac:dyDescent="0.3">
      <c r="A103" s="50"/>
      <c r="B103" s="50"/>
      <c r="E103" s="50"/>
      <c r="F103" s="50"/>
      <c r="G103" s="50"/>
      <c r="H103" s="50"/>
    </row>
    <row r="104" spans="1:8" ht="17.2" customHeight="1" x14ac:dyDescent="0.3">
      <c r="A104" s="556"/>
      <c r="B104" s="557"/>
      <c r="C104" s="380" t="s">
        <v>2</v>
      </c>
      <c r="D104" s="382" t="s">
        <v>3</v>
      </c>
      <c r="E104" s="383"/>
      <c r="F104" s="1">
        <v>103</v>
      </c>
      <c r="G104" s="548"/>
      <c r="H104" s="549"/>
    </row>
    <row r="105" spans="1:8" ht="17.2" customHeight="1" x14ac:dyDescent="0.3">
      <c r="A105" s="558"/>
      <c r="B105" s="559"/>
      <c r="C105" s="381"/>
      <c r="D105" s="396" t="s">
        <v>4</v>
      </c>
      <c r="E105" s="397"/>
      <c r="F105" s="400">
        <v>51</v>
      </c>
      <c r="G105" s="550"/>
      <c r="H105" s="551"/>
    </row>
    <row r="106" spans="1:8" ht="17.2" customHeight="1" x14ac:dyDescent="0.3">
      <c r="A106" s="558"/>
      <c r="B106" s="559"/>
      <c r="C106" s="5" t="s">
        <v>5</v>
      </c>
      <c r="D106" s="398"/>
      <c r="E106" s="399"/>
      <c r="F106" s="401"/>
      <c r="G106" s="550"/>
      <c r="H106" s="551"/>
    </row>
    <row r="107" spans="1:8" ht="26.85" customHeight="1" x14ac:dyDescent="0.3">
      <c r="A107" s="558"/>
      <c r="B107" s="559"/>
      <c r="C107" s="55" t="s">
        <v>6</v>
      </c>
      <c r="D107" s="402" t="s">
        <v>7</v>
      </c>
      <c r="E107" s="403"/>
      <c r="F107" s="7">
        <v>1</v>
      </c>
      <c r="G107" s="550"/>
      <c r="H107" s="551"/>
    </row>
    <row r="108" spans="1:8" ht="17.2" customHeight="1" x14ac:dyDescent="0.3">
      <c r="A108" s="558"/>
      <c r="B108" s="559"/>
      <c r="C108" s="530" t="s">
        <v>8</v>
      </c>
      <c r="D108" s="532" t="s">
        <v>9</v>
      </c>
      <c r="E108" s="533"/>
      <c r="F108" s="5" t="s">
        <v>10</v>
      </c>
      <c r="G108" s="550"/>
      <c r="H108" s="551"/>
    </row>
    <row r="109" spans="1:8" ht="17.2" customHeight="1" x14ac:dyDescent="0.3">
      <c r="A109" s="560"/>
      <c r="B109" s="561"/>
      <c r="C109" s="531"/>
      <c r="D109" s="534"/>
      <c r="E109" s="535"/>
      <c r="F109" s="8">
        <f>$F$6</f>
        <v>45402</v>
      </c>
      <c r="G109" s="552"/>
      <c r="H109" s="553"/>
    </row>
    <row r="110" spans="1:8" ht="17.2" customHeight="1" thickBot="1" x14ac:dyDescent="0.35">
      <c r="A110" s="536"/>
      <c r="B110" s="537"/>
      <c r="C110" s="537"/>
      <c r="D110" s="537"/>
      <c r="E110" s="537"/>
      <c r="F110" s="537"/>
      <c r="G110" s="537"/>
      <c r="H110" s="538"/>
    </row>
    <row r="111" spans="1:8" ht="28.15" customHeight="1" thickBot="1" x14ac:dyDescent="0.35">
      <c r="A111" s="92">
        <v>1.3</v>
      </c>
      <c r="B111" s="539" t="str">
        <f>VLOOKUP(A111,PRESUPUESTO!$A$14:$G$71,2,)</f>
        <v>Desmonte de cabinas metálicas existentes</v>
      </c>
      <c r="C111" s="540"/>
      <c r="D111" s="540"/>
      <c r="E111" s="540"/>
      <c r="F111" s="541"/>
      <c r="G111" s="57" t="s">
        <v>31</v>
      </c>
      <c r="H111" s="58" t="str">
        <f>VLOOKUP(A111,PRESUPUESTO!$A$14:$G$71,4,)</f>
        <v>UND</v>
      </c>
    </row>
    <row r="112" spans="1:8" ht="17.2" customHeight="1" x14ac:dyDescent="0.3">
      <c r="A112" s="59"/>
      <c r="H112" s="60"/>
    </row>
    <row r="113" spans="1:8" ht="17.2" customHeight="1" x14ac:dyDescent="0.3">
      <c r="A113" s="61" t="s">
        <v>32</v>
      </c>
      <c r="B113" s="525" t="s">
        <v>33</v>
      </c>
      <c r="C113" s="526"/>
      <c r="D113" s="526"/>
      <c r="E113" s="526"/>
      <c r="F113" s="526"/>
      <c r="G113" s="527"/>
      <c r="H113" s="60"/>
    </row>
    <row r="114" spans="1:8" ht="17.2" customHeight="1" x14ac:dyDescent="0.3">
      <c r="A114" s="62"/>
      <c r="B114" s="518" t="s">
        <v>34</v>
      </c>
      <c r="C114" s="519"/>
      <c r="D114" s="62" t="s">
        <v>35</v>
      </c>
      <c r="E114" s="62" t="s">
        <v>69</v>
      </c>
      <c r="F114" s="62" t="s">
        <v>70</v>
      </c>
      <c r="G114" s="62" t="s">
        <v>38</v>
      </c>
      <c r="H114" s="60"/>
    </row>
    <row r="115" spans="1:8" ht="17.2" customHeight="1" x14ac:dyDescent="0.3">
      <c r="A115" s="63"/>
      <c r="B115" s="542" t="s">
        <v>39</v>
      </c>
      <c r="C115" s="543"/>
      <c r="D115" s="63"/>
      <c r="E115" s="64"/>
      <c r="F115" s="64">
        <v>0.1</v>
      </c>
      <c r="G115" s="65">
        <f>ROUND(H128*F115,2)</f>
        <v>568.75</v>
      </c>
      <c r="H115" s="66"/>
    </row>
    <row r="116" spans="1:8" ht="17.2" customHeight="1" x14ac:dyDescent="0.3">
      <c r="A116" s="63"/>
      <c r="B116" s="562" t="s">
        <v>373</v>
      </c>
      <c r="C116" s="563"/>
      <c r="D116" s="62" t="s">
        <v>363</v>
      </c>
      <c r="E116" s="64">
        <v>50000</v>
      </c>
      <c r="F116" s="64">
        <v>0.1</v>
      </c>
      <c r="G116" s="65">
        <f>F116*E116</f>
        <v>5000</v>
      </c>
      <c r="H116" s="66"/>
    </row>
    <row r="117" spans="1:8" ht="17.2" customHeight="1" x14ac:dyDescent="0.3">
      <c r="A117" s="70"/>
      <c r="E117" s="71" t="s">
        <v>40</v>
      </c>
      <c r="F117" s="71"/>
      <c r="G117" s="71"/>
      <c r="H117" s="72">
        <f>ROUND(SUM(G115:G116),2)</f>
        <v>5568.75</v>
      </c>
    </row>
    <row r="118" spans="1:8" ht="17.2" customHeight="1" x14ac:dyDescent="0.3">
      <c r="A118" s="61" t="s">
        <v>41</v>
      </c>
      <c r="B118" s="525" t="s">
        <v>42</v>
      </c>
      <c r="C118" s="526"/>
      <c r="D118" s="526"/>
      <c r="E118" s="526"/>
      <c r="F118" s="526"/>
      <c r="G118" s="527"/>
      <c r="H118" s="73"/>
    </row>
    <row r="119" spans="1:8" ht="17.2" customHeight="1" x14ac:dyDescent="0.3">
      <c r="A119" s="62"/>
      <c r="B119" s="518" t="s">
        <v>34</v>
      </c>
      <c r="C119" s="519"/>
      <c r="D119" s="63" t="s">
        <v>43</v>
      </c>
      <c r="E119" s="74" t="s">
        <v>44</v>
      </c>
      <c r="F119" s="74" t="s">
        <v>45</v>
      </c>
      <c r="G119" s="74" t="s">
        <v>38</v>
      </c>
      <c r="H119" s="73"/>
    </row>
    <row r="120" spans="1:8" ht="17.2" customHeight="1" x14ac:dyDescent="0.3">
      <c r="A120" s="62"/>
      <c r="B120" s="542" t="s">
        <v>374</v>
      </c>
      <c r="C120" s="543"/>
      <c r="D120" s="62" t="s">
        <v>218</v>
      </c>
      <c r="E120" s="74">
        <v>0.1</v>
      </c>
      <c r="F120" s="74">
        <v>12000</v>
      </c>
      <c r="G120" s="296">
        <f>ROUND((E120*F120),2)</f>
        <v>1200</v>
      </c>
      <c r="H120" s="297"/>
    </row>
    <row r="121" spans="1:8" ht="17.2" customHeight="1" x14ac:dyDescent="0.3">
      <c r="A121" s="63"/>
      <c r="B121" s="523"/>
      <c r="C121" s="524"/>
      <c r="D121" s="93"/>
      <c r="E121" s="94"/>
      <c r="F121" s="95"/>
      <c r="G121" s="67"/>
      <c r="H121" s="73"/>
    </row>
    <row r="122" spans="1:8" ht="17.2" customHeight="1" x14ac:dyDescent="0.3">
      <c r="A122" s="70" t="s">
        <v>46</v>
      </c>
      <c r="E122" s="71" t="s">
        <v>47</v>
      </c>
      <c r="F122" s="71"/>
      <c r="G122" s="71"/>
      <c r="H122" s="76">
        <f>ROUND(SUM(G120:G121),2)</f>
        <v>1200</v>
      </c>
    </row>
    <row r="123" spans="1:8" ht="17.2" customHeight="1" x14ac:dyDescent="0.3">
      <c r="A123" s="61" t="s">
        <v>48</v>
      </c>
      <c r="B123" s="525" t="s">
        <v>49</v>
      </c>
      <c r="C123" s="526"/>
      <c r="D123" s="526"/>
      <c r="E123" s="526"/>
      <c r="F123" s="526"/>
      <c r="G123" s="527"/>
      <c r="H123" s="73"/>
    </row>
    <row r="124" spans="1:8" ht="17.2" customHeight="1" x14ac:dyDescent="0.3">
      <c r="A124" s="62" t="s">
        <v>50</v>
      </c>
      <c r="B124" s="62" t="s">
        <v>34</v>
      </c>
      <c r="C124" s="62" t="s">
        <v>51</v>
      </c>
      <c r="D124" s="62" t="s">
        <v>52</v>
      </c>
      <c r="E124" s="74" t="s">
        <v>53</v>
      </c>
      <c r="F124" s="64" t="s">
        <v>375</v>
      </c>
      <c r="G124" s="64" t="s">
        <v>38</v>
      </c>
      <c r="H124" s="73"/>
    </row>
    <row r="125" spans="1:8" ht="17.2" customHeight="1" x14ac:dyDescent="0.3">
      <c r="A125" s="62">
        <v>1</v>
      </c>
      <c r="B125" s="63" t="s">
        <v>79</v>
      </c>
      <c r="C125" s="77">
        <v>120000</v>
      </c>
      <c r="D125" s="78">
        <v>0.75</v>
      </c>
      <c r="E125" s="79">
        <f>+(A125*C125)+(A125*C125*D125)</f>
        <v>210000</v>
      </c>
      <c r="F125" s="75">
        <v>80</v>
      </c>
      <c r="G125" s="65">
        <f>ROUND(E125/(F125),2)</f>
        <v>2625</v>
      </c>
      <c r="H125" s="73"/>
    </row>
    <row r="126" spans="1:8" ht="17.2" customHeight="1" x14ac:dyDescent="0.3">
      <c r="A126" s="62">
        <v>2</v>
      </c>
      <c r="B126" s="63" t="s">
        <v>80</v>
      </c>
      <c r="C126" s="77">
        <v>70000</v>
      </c>
      <c r="D126" s="78">
        <v>0.75</v>
      </c>
      <c r="E126" s="79">
        <f>+(A126*C126)+(A126*C126*D126)</f>
        <v>245000</v>
      </c>
      <c r="F126" s="75">
        <v>80</v>
      </c>
      <c r="G126" s="65">
        <f>ROUND(E126/(F126),2)</f>
        <v>3062.5</v>
      </c>
      <c r="H126" s="73"/>
    </row>
    <row r="127" spans="1:8" ht="17.2" customHeight="1" x14ac:dyDescent="0.3">
      <c r="A127" s="63"/>
      <c r="B127" s="63"/>
      <c r="C127" s="63"/>
      <c r="D127" s="63"/>
      <c r="E127" s="64"/>
      <c r="F127" s="64"/>
      <c r="G127" s="64"/>
      <c r="H127" s="73"/>
    </row>
    <row r="128" spans="1:8" ht="17.2" customHeight="1" x14ac:dyDescent="0.3">
      <c r="A128" s="70"/>
      <c r="E128" s="71" t="s">
        <v>54</v>
      </c>
      <c r="F128" s="71"/>
      <c r="G128" s="71"/>
      <c r="H128" s="72">
        <f>ROUND(SUM(G125)+(G126),2)</f>
        <v>5687.5</v>
      </c>
    </row>
    <row r="129" spans="1:8" ht="17.2" customHeight="1" x14ac:dyDescent="0.3">
      <c r="A129" s="61" t="s">
        <v>55</v>
      </c>
      <c r="B129" s="525" t="s">
        <v>56</v>
      </c>
      <c r="C129" s="526"/>
      <c r="D129" s="526"/>
      <c r="E129" s="526"/>
      <c r="F129" s="526"/>
      <c r="G129" s="527"/>
      <c r="H129" s="73"/>
    </row>
    <row r="130" spans="1:8" ht="17.2" customHeight="1" x14ac:dyDescent="0.3">
      <c r="A130" s="63"/>
      <c r="B130" s="63" t="s">
        <v>34</v>
      </c>
      <c r="C130" s="62" t="s">
        <v>43</v>
      </c>
      <c r="D130" s="62" t="s">
        <v>57</v>
      </c>
      <c r="E130" s="62" t="s">
        <v>58</v>
      </c>
      <c r="F130" s="62"/>
      <c r="G130" s="64" t="s">
        <v>59</v>
      </c>
      <c r="H130" s="73"/>
    </row>
    <row r="131" spans="1:8" ht="17.2" customHeight="1" x14ac:dyDescent="0.3">
      <c r="A131" s="63"/>
      <c r="B131" s="63"/>
      <c r="C131" s="80"/>
      <c r="D131" s="63"/>
      <c r="E131" s="64"/>
      <c r="F131" s="64"/>
      <c r="G131" s="64">
        <f>D131*E131</f>
        <v>0</v>
      </c>
      <c r="H131" s="73"/>
    </row>
    <row r="132" spans="1:8" ht="17.2" customHeight="1" x14ac:dyDescent="0.3">
      <c r="A132" s="63"/>
      <c r="B132" s="63"/>
      <c r="C132" s="81"/>
      <c r="D132" s="63"/>
      <c r="E132" s="64"/>
      <c r="F132" s="64"/>
      <c r="G132" s="64"/>
      <c r="H132" s="73"/>
    </row>
    <row r="133" spans="1:8" ht="17.2" customHeight="1" x14ac:dyDescent="0.3">
      <c r="A133" s="63"/>
      <c r="B133" s="63"/>
      <c r="C133" s="63"/>
      <c r="D133" s="63"/>
      <c r="E133" s="64"/>
      <c r="F133" s="64"/>
      <c r="G133" s="64"/>
      <c r="H133" s="73"/>
    </row>
    <row r="134" spans="1:8" ht="17.2" customHeight="1" x14ac:dyDescent="0.3">
      <c r="A134" s="70"/>
      <c r="E134" s="71" t="s">
        <v>54</v>
      </c>
      <c r="F134" s="71"/>
      <c r="G134" s="71"/>
      <c r="H134" s="119">
        <f>ROUND(SUM(G131)+(G132),0)</f>
        <v>0</v>
      </c>
    </row>
    <row r="135" spans="1:8" ht="17.2" customHeight="1" x14ac:dyDescent="0.3">
      <c r="A135" s="59"/>
      <c r="E135" s="71"/>
      <c r="F135" s="71"/>
      <c r="G135" s="71"/>
      <c r="H135" s="73"/>
    </row>
    <row r="136" spans="1:8" ht="17.2" customHeight="1" x14ac:dyDescent="0.3">
      <c r="A136" s="59"/>
      <c r="D136" s="82" t="s">
        <v>60</v>
      </c>
      <c r="E136" s="83"/>
      <c r="F136" s="83"/>
      <c r="G136" s="83"/>
      <c r="H136" s="72">
        <f>ROUND(SUM(H117:H135),2)</f>
        <v>12456.25</v>
      </c>
    </row>
    <row r="137" spans="1:8" ht="17.2" customHeight="1" x14ac:dyDescent="0.3">
      <c r="A137" s="59"/>
      <c r="E137" s="71"/>
      <c r="F137" s="71"/>
      <c r="G137" s="71"/>
      <c r="H137" s="73"/>
    </row>
    <row r="138" spans="1:8" ht="17.2" customHeight="1" x14ac:dyDescent="0.3">
      <c r="A138" s="61" t="s">
        <v>61</v>
      </c>
      <c r="B138" s="525" t="s">
        <v>62</v>
      </c>
      <c r="C138" s="526"/>
      <c r="D138" s="526"/>
      <c r="E138" s="526"/>
      <c r="F138" s="526"/>
      <c r="G138" s="527"/>
      <c r="H138" s="73"/>
    </row>
    <row r="139" spans="1:8" ht="17.2" customHeight="1" x14ac:dyDescent="0.3">
      <c r="A139" s="62"/>
      <c r="B139" s="518" t="s">
        <v>34</v>
      </c>
      <c r="C139" s="519"/>
      <c r="D139" s="518" t="s">
        <v>63</v>
      </c>
      <c r="E139" s="519"/>
      <c r="F139" s="528" t="s">
        <v>64</v>
      </c>
      <c r="G139" s="529"/>
      <c r="H139" s="73"/>
    </row>
    <row r="140" spans="1:8" ht="17.2" customHeight="1" x14ac:dyDescent="0.3">
      <c r="A140" s="63"/>
      <c r="B140" s="518" t="s">
        <v>20</v>
      </c>
      <c r="C140" s="519"/>
      <c r="D140" s="520">
        <v>0.28000000000000003</v>
      </c>
      <c r="E140" s="519"/>
      <c r="F140" s="521">
        <f>+H136*D140</f>
        <v>3487.7500000000005</v>
      </c>
      <c r="G140" s="522"/>
      <c r="H140" s="73"/>
    </row>
    <row r="141" spans="1:8" ht="17.2" customHeight="1" x14ac:dyDescent="0.3">
      <c r="A141" s="63"/>
      <c r="B141" s="518" t="s">
        <v>21</v>
      </c>
      <c r="C141" s="519"/>
      <c r="D141" s="520">
        <v>0.01</v>
      </c>
      <c r="E141" s="519"/>
      <c r="F141" s="521">
        <f>+H136*D141</f>
        <v>124.5625</v>
      </c>
      <c r="G141" s="522"/>
      <c r="H141" s="73"/>
    </row>
    <row r="142" spans="1:8" ht="17.2" customHeight="1" x14ac:dyDescent="0.3">
      <c r="A142" s="63"/>
      <c r="B142" s="518" t="s">
        <v>22</v>
      </c>
      <c r="C142" s="519"/>
      <c r="D142" s="520">
        <v>0.03</v>
      </c>
      <c r="E142" s="519"/>
      <c r="F142" s="521">
        <f>+H136*D142</f>
        <v>373.6875</v>
      </c>
      <c r="G142" s="522"/>
      <c r="H142" s="73"/>
    </row>
    <row r="143" spans="1:8" ht="17.2" customHeight="1" x14ac:dyDescent="0.3">
      <c r="A143" s="63"/>
      <c r="B143" s="518" t="s">
        <v>188</v>
      </c>
      <c r="C143" s="519"/>
      <c r="D143" s="520">
        <v>0.19</v>
      </c>
      <c r="E143" s="519"/>
      <c r="F143" s="521">
        <f>D143*F142</f>
        <v>71.000624999999999</v>
      </c>
      <c r="G143" s="522"/>
      <c r="H143" s="73"/>
    </row>
    <row r="144" spans="1:8" ht="17.2" customHeight="1" x14ac:dyDescent="0.3">
      <c r="A144" s="59"/>
      <c r="D144" s="82" t="s">
        <v>65</v>
      </c>
      <c r="E144" s="83"/>
      <c r="F144" s="83"/>
      <c r="G144" s="83"/>
      <c r="H144" s="72">
        <f>SUM(F140:G143)</f>
        <v>4057.0006250000006</v>
      </c>
    </row>
    <row r="145" spans="1:8" ht="17.2" customHeight="1" x14ac:dyDescent="0.3">
      <c r="A145" s="59"/>
      <c r="E145" s="71"/>
      <c r="F145" s="71"/>
      <c r="G145" s="71"/>
      <c r="H145" s="73"/>
    </row>
    <row r="146" spans="1:8" ht="17.2" customHeight="1" x14ac:dyDescent="0.3">
      <c r="A146" s="59"/>
      <c r="D146" s="82" t="s">
        <v>66</v>
      </c>
      <c r="E146" s="83"/>
      <c r="F146" s="83"/>
      <c r="G146" s="71"/>
      <c r="H146" s="72">
        <f>H136+H144</f>
        <v>16513.250625000001</v>
      </c>
    </row>
    <row r="147" spans="1:8" ht="17.2" customHeight="1" x14ac:dyDescent="0.3">
      <c r="A147" s="59"/>
      <c r="D147" s="82"/>
      <c r="E147" s="83"/>
      <c r="F147" s="83"/>
      <c r="G147" s="71"/>
      <c r="H147" s="73"/>
    </row>
    <row r="148" spans="1:8" ht="17.2" customHeight="1" x14ac:dyDescent="0.3">
      <c r="A148" s="59"/>
      <c r="E148" s="83"/>
      <c r="F148" s="83"/>
      <c r="G148" s="71"/>
      <c r="H148" s="73"/>
    </row>
    <row r="149" spans="1:8" ht="17.2" customHeight="1" x14ac:dyDescent="0.3">
      <c r="A149" s="84"/>
      <c r="B149" s="85"/>
      <c r="E149" s="46"/>
      <c r="F149" s="47"/>
      <c r="G149" s="48"/>
      <c r="H149" s="73"/>
    </row>
    <row r="150" spans="1:8" ht="17.2" customHeight="1" x14ac:dyDescent="0.3">
      <c r="A150" s="86" t="s">
        <v>67</v>
      </c>
      <c r="B150" s="50" t="s">
        <v>68</v>
      </c>
      <c r="E150" s="49" t="s">
        <v>27</v>
      </c>
      <c r="F150" s="50"/>
      <c r="G150" s="50"/>
      <c r="H150" s="87"/>
    </row>
    <row r="151" spans="1:8" ht="17.2" customHeight="1" x14ac:dyDescent="0.3">
      <c r="A151" s="88" t="s">
        <v>28</v>
      </c>
      <c r="B151" s="50"/>
      <c r="E151" s="50" t="str">
        <f ca="1">+$E$52</f>
        <v>SECRETARIO DE PLANEACION Y OBRAS PUBLICAS</v>
      </c>
      <c r="F151" s="50"/>
      <c r="G151" s="50"/>
      <c r="H151" s="87"/>
    </row>
    <row r="152" spans="1:8" ht="18.2" customHeight="1" x14ac:dyDescent="0.3">
      <c r="A152" s="88"/>
      <c r="B152" s="50"/>
      <c r="E152" s="50" t="str">
        <f ca="1">+$E$53</f>
        <v>SAN MIGUEL - PUTUMAYO</v>
      </c>
      <c r="F152" s="50"/>
      <c r="G152" s="50"/>
      <c r="H152" s="87"/>
    </row>
    <row r="153" spans="1:8" ht="17.2" customHeight="1" x14ac:dyDescent="0.3">
      <c r="A153" s="50"/>
      <c r="B153" s="50"/>
      <c r="E153" s="50"/>
      <c r="F153" s="50"/>
      <c r="G153" s="50"/>
      <c r="H153" s="50"/>
    </row>
    <row r="154" spans="1:8" ht="17.2" customHeight="1" x14ac:dyDescent="0.3">
      <c r="A154" s="556"/>
      <c r="B154" s="557"/>
      <c r="C154" s="380" t="s">
        <v>2</v>
      </c>
      <c r="D154" s="382" t="s">
        <v>3</v>
      </c>
      <c r="E154" s="383"/>
      <c r="F154" s="1">
        <v>103</v>
      </c>
      <c r="G154" s="548"/>
      <c r="H154" s="549"/>
    </row>
    <row r="155" spans="1:8" ht="17.2" customHeight="1" x14ac:dyDescent="0.3">
      <c r="A155" s="558"/>
      <c r="B155" s="559"/>
      <c r="C155" s="381"/>
      <c r="D155" s="396" t="s">
        <v>4</v>
      </c>
      <c r="E155" s="397"/>
      <c r="F155" s="400">
        <v>51</v>
      </c>
      <c r="G155" s="550"/>
      <c r="H155" s="551"/>
    </row>
    <row r="156" spans="1:8" ht="17.2" customHeight="1" x14ac:dyDescent="0.3">
      <c r="A156" s="558"/>
      <c r="B156" s="559"/>
      <c r="C156" s="5" t="s">
        <v>5</v>
      </c>
      <c r="D156" s="398"/>
      <c r="E156" s="399"/>
      <c r="F156" s="401"/>
      <c r="G156" s="550"/>
      <c r="H156" s="551"/>
    </row>
    <row r="157" spans="1:8" ht="26.85" customHeight="1" x14ac:dyDescent="0.3">
      <c r="A157" s="558"/>
      <c r="B157" s="559"/>
      <c r="C157" s="55" t="s">
        <v>6</v>
      </c>
      <c r="D157" s="402" t="s">
        <v>7</v>
      </c>
      <c r="E157" s="403"/>
      <c r="F157" s="7">
        <v>1</v>
      </c>
      <c r="G157" s="550"/>
      <c r="H157" s="551"/>
    </row>
    <row r="158" spans="1:8" ht="17.2" customHeight="1" x14ac:dyDescent="0.3">
      <c r="A158" s="558"/>
      <c r="B158" s="559"/>
      <c r="C158" s="530" t="s">
        <v>8</v>
      </c>
      <c r="D158" s="532" t="s">
        <v>9</v>
      </c>
      <c r="E158" s="533"/>
      <c r="F158" s="5" t="s">
        <v>10</v>
      </c>
      <c r="G158" s="550"/>
      <c r="H158" s="551"/>
    </row>
    <row r="159" spans="1:8" ht="17.2" customHeight="1" x14ac:dyDescent="0.3">
      <c r="A159" s="560"/>
      <c r="B159" s="561"/>
      <c r="C159" s="531"/>
      <c r="D159" s="534"/>
      <c r="E159" s="535"/>
      <c r="F159" s="8">
        <f>$F$6</f>
        <v>45402</v>
      </c>
      <c r="G159" s="552"/>
      <c r="H159" s="553"/>
    </row>
    <row r="160" spans="1:8" ht="17.2" customHeight="1" thickBot="1" x14ac:dyDescent="0.35">
      <c r="A160" s="536"/>
      <c r="B160" s="537"/>
      <c r="C160" s="537"/>
      <c r="D160" s="537"/>
      <c r="E160" s="537"/>
      <c r="F160" s="537"/>
      <c r="G160" s="537"/>
      <c r="H160" s="538"/>
    </row>
    <row r="161" spans="1:8" ht="28.15" customHeight="1" thickBot="1" x14ac:dyDescent="0.35">
      <c r="A161" s="92">
        <v>1.4</v>
      </c>
      <c r="B161" s="539" t="str">
        <f>VLOOKUP(A161,PRESUPUESTO!$A$14:$G$71,2,)</f>
        <v>Desmonte de unidades sanitarias y lavamanos existentes</v>
      </c>
      <c r="C161" s="540"/>
      <c r="D161" s="540"/>
      <c r="E161" s="540"/>
      <c r="F161" s="541"/>
      <c r="G161" s="57" t="s">
        <v>31</v>
      </c>
      <c r="H161" s="58" t="str">
        <f>VLOOKUP(A161,PRESUPUESTO!$A$14:$G$71,4,)</f>
        <v>UND</v>
      </c>
    </row>
    <row r="162" spans="1:8" ht="17.2" customHeight="1" x14ac:dyDescent="0.3">
      <c r="A162" s="59"/>
      <c r="H162" s="60"/>
    </row>
    <row r="163" spans="1:8" ht="17.2" customHeight="1" x14ac:dyDescent="0.3">
      <c r="A163" s="61" t="s">
        <v>32</v>
      </c>
      <c r="B163" s="525" t="s">
        <v>33</v>
      </c>
      <c r="C163" s="526"/>
      <c r="D163" s="526"/>
      <c r="E163" s="526"/>
      <c r="F163" s="526"/>
      <c r="G163" s="527"/>
      <c r="H163" s="60"/>
    </row>
    <row r="164" spans="1:8" ht="17.2" customHeight="1" x14ac:dyDescent="0.3">
      <c r="A164" s="62"/>
      <c r="B164" s="518" t="s">
        <v>34</v>
      </c>
      <c r="C164" s="519"/>
      <c r="D164" s="62" t="s">
        <v>35</v>
      </c>
      <c r="E164" s="62" t="s">
        <v>69</v>
      </c>
      <c r="F164" s="62" t="s">
        <v>70</v>
      </c>
      <c r="G164" s="62" t="s">
        <v>38</v>
      </c>
      <c r="H164" s="60"/>
    </row>
    <row r="165" spans="1:8" ht="17.2" customHeight="1" x14ac:dyDescent="0.3">
      <c r="A165" s="63"/>
      <c r="B165" s="542" t="s">
        <v>39</v>
      </c>
      <c r="C165" s="543"/>
      <c r="D165" s="63"/>
      <c r="E165" s="64"/>
      <c r="F165" s="64">
        <v>0.1</v>
      </c>
      <c r="G165" s="65">
        <f>ROUND(H178*F165,2)</f>
        <v>2275</v>
      </c>
      <c r="H165" s="66"/>
    </row>
    <row r="166" spans="1:8" ht="17.2" customHeight="1" x14ac:dyDescent="0.3">
      <c r="A166" s="63"/>
      <c r="B166" s="562"/>
      <c r="C166" s="563"/>
      <c r="D166" s="62"/>
      <c r="E166" s="64"/>
      <c r="F166" s="64"/>
      <c r="G166" s="65"/>
      <c r="H166" s="66"/>
    </row>
    <row r="167" spans="1:8" ht="17.2" customHeight="1" x14ac:dyDescent="0.3">
      <c r="A167" s="70"/>
      <c r="E167" s="71" t="s">
        <v>40</v>
      </c>
      <c r="F167" s="71"/>
      <c r="G167" s="71"/>
      <c r="H167" s="72">
        <f>ROUND(SUM(G165:G166),2)</f>
        <v>2275</v>
      </c>
    </row>
    <row r="168" spans="1:8" ht="17.2" customHeight="1" x14ac:dyDescent="0.3">
      <c r="A168" s="61" t="s">
        <v>41</v>
      </c>
      <c r="B168" s="525" t="s">
        <v>42</v>
      </c>
      <c r="C168" s="526"/>
      <c r="D168" s="526"/>
      <c r="E168" s="526"/>
      <c r="F168" s="526"/>
      <c r="G168" s="527"/>
      <c r="H168" s="73"/>
    </row>
    <row r="169" spans="1:8" ht="17.2" customHeight="1" x14ac:dyDescent="0.3">
      <c r="A169" s="62"/>
      <c r="B169" s="518" t="s">
        <v>34</v>
      </c>
      <c r="C169" s="519"/>
      <c r="D169" s="63" t="s">
        <v>43</v>
      </c>
      <c r="E169" s="74" t="s">
        <v>44</v>
      </c>
      <c r="F169" s="74" t="s">
        <v>45</v>
      </c>
      <c r="G169" s="74" t="s">
        <v>38</v>
      </c>
      <c r="H169" s="73"/>
    </row>
    <row r="170" spans="1:8" ht="15.05" x14ac:dyDescent="0.3">
      <c r="A170" s="63"/>
      <c r="B170" s="542"/>
      <c r="C170" s="543"/>
      <c r="D170" s="62"/>
      <c r="E170" s="74"/>
      <c r="F170" s="74"/>
      <c r="G170" s="296">
        <f>ROUND((E170*F170),2)</f>
        <v>0</v>
      </c>
      <c r="H170" s="73"/>
    </row>
    <row r="171" spans="1:8" ht="17.2" customHeight="1" x14ac:dyDescent="0.3">
      <c r="A171" s="63"/>
      <c r="B171" s="523"/>
      <c r="C171" s="524"/>
      <c r="D171" s="93"/>
      <c r="E171" s="94"/>
      <c r="F171" s="95"/>
      <c r="G171" s="67"/>
      <c r="H171" s="73"/>
    </row>
    <row r="172" spans="1:8" ht="17.2" customHeight="1" x14ac:dyDescent="0.3">
      <c r="A172" s="70" t="s">
        <v>46</v>
      </c>
      <c r="E172" s="71" t="s">
        <v>47</v>
      </c>
      <c r="F172" s="71"/>
      <c r="G172" s="71"/>
      <c r="H172" s="76">
        <f>ROUND(SUM(G170:G171),2)</f>
        <v>0</v>
      </c>
    </row>
    <row r="173" spans="1:8" ht="17.2" customHeight="1" x14ac:dyDescent="0.3">
      <c r="A173" s="61" t="s">
        <v>48</v>
      </c>
      <c r="B173" s="525" t="s">
        <v>49</v>
      </c>
      <c r="C173" s="526"/>
      <c r="D173" s="526"/>
      <c r="E173" s="526"/>
      <c r="F173" s="526"/>
      <c r="G173" s="527"/>
      <c r="H173" s="73"/>
    </row>
    <row r="174" spans="1:8" ht="17.2" customHeight="1" x14ac:dyDescent="0.3">
      <c r="A174" s="62" t="s">
        <v>50</v>
      </c>
      <c r="B174" s="62" t="s">
        <v>34</v>
      </c>
      <c r="C174" s="62" t="s">
        <v>51</v>
      </c>
      <c r="D174" s="62" t="s">
        <v>52</v>
      </c>
      <c r="E174" s="74" t="s">
        <v>53</v>
      </c>
      <c r="F174" s="64" t="s">
        <v>375</v>
      </c>
      <c r="G174" s="64" t="s">
        <v>38</v>
      </c>
      <c r="H174" s="73"/>
    </row>
    <row r="175" spans="1:8" ht="17.2" customHeight="1" x14ac:dyDescent="0.3">
      <c r="A175" s="62">
        <v>1</v>
      </c>
      <c r="B175" s="63" t="s">
        <v>79</v>
      </c>
      <c r="C175" s="77">
        <v>120000</v>
      </c>
      <c r="D175" s="78">
        <v>0.75</v>
      </c>
      <c r="E175" s="79">
        <f>+(A175*C175)+(A175*C175*D175)</f>
        <v>210000</v>
      </c>
      <c r="F175" s="75">
        <v>20</v>
      </c>
      <c r="G175" s="65">
        <f>ROUND(E175/(F175),2)</f>
        <v>10500</v>
      </c>
      <c r="H175" s="73"/>
    </row>
    <row r="176" spans="1:8" ht="17.2" customHeight="1" x14ac:dyDescent="0.3">
      <c r="A176" s="62">
        <v>2</v>
      </c>
      <c r="B176" s="63" t="s">
        <v>80</v>
      </c>
      <c r="C176" s="77">
        <v>70000</v>
      </c>
      <c r="D176" s="78">
        <v>0.75</v>
      </c>
      <c r="E176" s="79">
        <f>+(A176*C176)+(A176*C176*D176)</f>
        <v>245000</v>
      </c>
      <c r="F176" s="75">
        <v>20</v>
      </c>
      <c r="G176" s="65">
        <f>ROUND(E176/(F176),2)</f>
        <v>12250</v>
      </c>
      <c r="H176" s="73"/>
    </row>
    <row r="177" spans="1:8" ht="17.2" customHeight="1" x14ac:dyDescent="0.3">
      <c r="A177" s="63"/>
      <c r="B177" s="63"/>
      <c r="C177" s="63"/>
      <c r="D177" s="63"/>
      <c r="E177" s="64"/>
      <c r="F177" s="64"/>
      <c r="G177" s="64"/>
      <c r="H177" s="73"/>
    </row>
    <row r="178" spans="1:8" ht="17.2" customHeight="1" x14ac:dyDescent="0.3">
      <c r="A178" s="70"/>
      <c r="E178" s="71" t="s">
        <v>54</v>
      </c>
      <c r="F178" s="71"/>
      <c r="G178" s="71"/>
      <c r="H178" s="72">
        <f>ROUND(SUM(G175)+(G176),2)</f>
        <v>22750</v>
      </c>
    </row>
    <row r="179" spans="1:8" ht="17.2" customHeight="1" x14ac:dyDescent="0.3">
      <c r="A179" s="61" t="s">
        <v>55</v>
      </c>
      <c r="B179" s="525" t="s">
        <v>56</v>
      </c>
      <c r="C179" s="526"/>
      <c r="D179" s="526"/>
      <c r="E179" s="526"/>
      <c r="F179" s="526"/>
      <c r="G179" s="527"/>
      <c r="H179" s="73"/>
    </row>
    <row r="180" spans="1:8" ht="17.2" customHeight="1" x14ac:dyDescent="0.3">
      <c r="A180" s="63"/>
      <c r="B180" s="63" t="s">
        <v>34</v>
      </c>
      <c r="C180" s="62" t="s">
        <v>43</v>
      </c>
      <c r="D180" s="62" t="s">
        <v>57</v>
      </c>
      <c r="E180" s="62" t="s">
        <v>58</v>
      </c>
      <c r="F180" s="62"/>
      <c r="G180" s="64" t="s">
        <v>59</v>
      </c>
      <c r="H180" s="73"/>
    </row>
    <row r="181" spans="1:8" ht="17.2" customHeight="1" x14ac:dyDescent="0.3">
      <c r="A181" s="63"/>
      <c r="B181" s="63"/>
      <c r="C181" s="80"/>
      <c r="D181" s="63"/>
      <c r="E181" s="64"/>
      <c r="F181" s="64"/>
      <c r="G181" s="64">
        <f>D181*E181</f>
        <v>0</v>
      </c>
      <c r="H181" s="73"/>
    </row>
    <row r="182" spans="1:8" ht="17.2" customHeight="1" x14ac:dyDescent="0.3">
      <c r="A182" s="63"/>
      <c r="B182" s="63"/>
      <c r="C182" s="81"/>
      <c r="D182" s="63"/>
      <c r="E182" s="64"/>
      <c r="F182" s="64"/>
      <c r="G182" s="64"/>
      <c r="H182" s="73"/>
    </row>
    <row r="183" spans="1:8" ht="17.2" customHeight="1" x14ac:dyDescent="0.3">
      <c r="A183" s="63"/>
      <c r="B183" s="63"/>
      <c r="C183" s="63"/>
      <c r="D183" s="63"/>
      <c r="E183" s="64"/>
      <c r="F183" s="64"/>
      <c r="G183" s="64"/>
      <c r="H183" s="73"/>
    </row>
    <row r="184" spans="1:8" ht="17.2" customHeight="1" x14ac:dyDescent="0.3">
      <c r="A184" s="70"/>
      <c r="E184" s="71" t="s">
        <v>54</v>
      </c>
      <c r="F184" s="71"/>
      <c r="G184" s="71"/>
      <c r="H184" s="119">
        <f>ROUND(SUM(G181)+(G182),0)</f>
        <v>0</v>
      </c>
    </row>
    <row r="185" spans="1:8" ht="17.2" customHeight="1" x14ac:dyDescent="0.3">
      <c r="A185" s="59"/>
      <c r="E185" s="71"/>
      <c r="F185" s="71"/>
      <c r="G185" s="71"/>
      <c r="H185" s="73"/>
    </row>
    <row r="186" spans="1:8" ht="17.2" customHeight="1" x14ac:dyDescent="0.3">
      <c r="A186" s="59"/>
      <c r="D186" s="82" t="s">
        <v>60</v>
      </c>
      <c r="E186" s="83"/>
      <c r="F186" s="83"/>
      <c r="G186" s="83"/>
      <c r="H186" s="72">
        <f>ROUND(SUM(H167:H185),2)</f>
        <v>25025</v>
      </c>
    </row>
    <row r="187" spans="1:8" ht="17.2" customHeight="1" x14ac:dyDescent="0.3">
      <c r="A187" s="59"/>
      <c r="E187" s="71"/>
      <c r="F187" s="71"/>
      <c r="G187" s="71"/>
      <c r="H187" s="73"/>
    </row>
    <row r="188" spans="1:8" ht="17.2" customHeight="1" x14ac:dyDescent="0.3">
      <c r="A188" s="61" t="s">
        <v>61</v>
      </c>
      <c r="B188" s="525" t="s">
        <v>62</v>
      </c>
      <c r="C188" s="526"/>
      <c r="D188" s="526"/>
      <c r="E188" s="526"/>
      <c r="F188" s="526"/>
      <c r="G188" s="527"/>
      <c r="H188" s="73"/>
    </row>
    <row r="189" spans="1:8" ht="17.2" customHeight="1" x14ac:dyDescent="0.3">
      <c r="A189" s="62"/>
      <c r="B189" s="518" t="s">
        <v>34</v>
      </c>
      <c r="C189" s="519"/>
      <c r="D189" s="518" t="s">
        <v>63</v>
      </c>
      <c r="E189" s="519"/>
      <c r="F189" s="528" t="s">
        <v>64</v>
      </c>
      <c r="G189" s="529"/>
      <c r="H189" s="73"/>
    </row>
    <row r="190" spans="1:8" ht="17.2" customHeight="1" x14ac:dyDescent="0.3">
      <c r="A190" s="63"/>
      <c r="B190" s="518" t="s">
        <v>20</v>
      </c>
      <c r="C190" s="519"/>
      <c r="D190" s="520">
        <v>0.28000000000000003</v>
      </c>
      <c r="E190" s="519"/>
      <c r="F190" s="521">
        <f>+H186*D190</f>
        <v>7007.0000000000009</v>
      </c>
      <c r="G190" s="522"/>
      <c r="H190" s="73"/>
    </row>
    <row r="191" spans="1:8" ht="17.2" customHeight="1" x14ac:dyDescent="0.3">
      <c r="A191" s="63"/>
      <c r="B191" s="518" t="s">
        <v>21</v>
      </c>
      <c r="C191" s="519"/>
      <c r="D191" s="520">
        <v>0.01</v>
      </c>
      <c r="E191" s="519"/>
      <c r="F191" s="521">
        <f>+H186*D191</f>
        <v>250.25</v>
      </c>
      <c r="G191" s="522"/>
      <c r="H191" s="73"/>
    </row>
    <row r="192" spans="1:8" ht="17.2" customHeight="1" x14ac:dyDescent="0.3">
      <c r="A192" s="63"/>
      <c r="B192" s="518" t="s">
        <v>22</v>
      </c>
      <c r="C192" s="519"/>
      <c r="D192" s="520">
        <v>0.03</v>
      </c>
      <c r="E192" s="519"/>
      <c r="F192" s="521">
        <f>+H186*D192</f>
        <v>750.75</v>
      </c>
      <c r="G192" s="522"/>
      <c r="H192" s="73"/>
    </row>
    <row r="193" spans="1:8" ht="17.2" customHeight="1" x14ac:dyDescent="0.3">
      <c r="A193" s="63"/>
      <c r="B193" s="518" t="s">
        <v>188</v>
      </c>
      <c r="C193" s="519"/>
      <c r="D193" s="520">
        <v>0.19</v>
      </c>
      <c r="E193" s="519"/>
      <c r="F193" s="521">
        <f>D193*F192</f>
        <v>142.64250000000001</v>
      </c>
      <c r="G193" s="522"/>
      <c r="H193" s="73"/>
    </row>
    <row r="194" spans="1:8" ht="17.2" customHeight="1" x14ac:dyDescent="0.3">
      <c r="A194" s="59"/>
      <c r="D194" s="82" t="s">
        <v>65</v>
      </c>
      <c r="E194" s="83"/>
      <c r="F194" s="83"/>
      <c r="G194" s="83"/>
      <c r="H194" s="72">
        <f>SUM(F190:G193)</f>
        <v>8150.6425000000008</v>
      </c>
    </row>
    <row r="195" spans="1:8" ht="17.2" customHeight="1" x14ac:dyDescent="0.3">
      <c r="A195" s="59"/>
      <c r="E195" s="71"/>
      <c r="F195" s="71"/>
      <c r="G195" s="71"/>
      <c r="H195" s="73"/>
    </row>
    <row r="196" spans="1:8" ht="17.2" customHeight="1" x14ac:dyDescent="0.3">
      <c r="A196" s="59"/>
      <c r="D196" s="82" t="s">
        <v>66</v>
      </c>
      <c r="E196" s="83"/>
      <c r="F196" s="83"/>
      <c r="G196" s="71"/>
      <c r="H196" s="72">
        <f>H186+H194</f>
        <v>33175.642500000002</v>
      </c>
    </row>
    <row r="197" spans="1:8" ht="17.2" customHeight="1" x14ac:dyDescent="0.3">
      <c r="A197" s="59"/>
      <c r="D197" s="82"/>
      <c r="E197" s="83"/>
      <c r="F197" s="83"/>
      <c r="G197" s="71"/>
      <c r="H197" s="73"/>
    </row>
    <row r="198" spans="1:8" ht="17.2" customHeight="1" x14ac:dyDescent="0.3">
      <c r="A198" s="59"/>
      <c r="E198" s="83"/>
      <c r="F198" s="83"/>
      <c r="G198" s="71"/>
      <c r="H198" s="73"/>
    </row>
    <row r="199" spans="1:8" ht="17.2" customHeight="1" x14ac:dyDescent="0.3">
      <c r="A199" s="84"/>
      <c r="B199" s="85"/>
      <c r="E199" s="46"/>
      <c r="F199" s="47"/>
      <c r="G199" s="48"/>
      <c r="H199" s="73"/>
    </row>
    <row r="200" spans="1:8" ht="17.2" customHeight="1" x14ac:dyDescent="0.3">
      <c r="A200" s="86" t="s">
        <v>67</v>
      </c>
      <c r="B200" s="50" t="s">
        <v>68</v>
      </c>
      <c r="E200" s="49" t="s">
        <v>27</v>
      </c>
      <c r="F200" s="50"/>
      <c r="G200" s="50"/>
      <c r="H200" s="87"/>
    </row>
    <row r="201" spans="1:8" ht="17.2" customHeight="1" x14ac:dyDescent="0.3">
      <c r="A201" s="88" t="s">
        <v>28</v>
      </c>
      <c r="B201" s="50"/>
      <c r="E201" s="50" t="str">
        <f ca="1">+$E$52</f>
        <v>SECRETARIO DE PLANEACION Y OBRAS PUBLICAS</v>
      </c>
      <c r="F201" s="50"/>
      <c r="G201" s="50"/>
      <c r="H201" s="87"/>
    </row>
    <row r="202" spans="1:8" ht="18.2" customHeight="1" x14ac:dyDescent="0.3">
      <c r="A202" s="88"/>
      <c r="B202" s="50"/>
      <c r="E202" s="50" t="str">
        <f ca="1">+$E$53</f>
        <v>SAN MIGUEL - PUTUMAYO</v>
      </c>
      <c r="F202" s="50"/>
      <c r="G202" s="50"/>
      <c r="H202" s="87"/>
    </row>
    <row r="203" spans="1:8" ht="17.2" customHeight="1" x14ac:dyDescent="0.3">
      <c r="A203" s="50"/>
      <c r="B203" s="50"/>
      <c r="E203" s="50"/>
      <c r="F203" s="50"/>
      <c r="G203" s="50"/>
      <c r="H203" s="50"/>
    </row>
    <row r="204" spans="1:8" ht="17.2" customHeight="1" x14ac:dyDescent="0.3">
      <c r="A204" s="556"/>
      <c r="B204" s="557"/>
      <c r="C204" s="380" t="s">
        <v>2</v>
      </c>
      <c r="D204" s="382" t="s">
        <v>3</v>
      </c>
      <c r="E204" s="383"/>
      <c r="F204" s="1">
        <v>103</v>
      </c>
      <c r="G204" s="548"/>
      <c r="H204" s="549"/>
    </row>
    <row r="205" spans="1:8" ht="17.2" customHeight="1" x14ac:dyDescent="0.3">
      <c r="A205" s="558"/>
      <c r="B205" s="559"/>
      <c r="C205" s="381"/>
      <c r="D205" s="396" t="s">
        <v>4</v>
      </c>
      <c r="E205" s="397"/>
      <c r="F205" s="400">
        <v>51</v>
      </c>
      <c r="G205" s="550"/>
      <c r="H205" s="551"/>
    </row>
    <row r="206" spans="1:8" ht="17.2" customHeight="1" x14ac:dyDescent="0.3">
      <c r="A206" s="558"/>
      <c r="B206" s="559"/>
      <c r="C206" s="5" t="s">
        <v>5</v>
      </c>
      <c r="D206" s="398"/>
      <c r="E206" s="399"/>
      <c r="F206" s="401"/>
      <c r="G206" s="550"/>
      <c r="H206" s="551"/>
    </row>
    <row r="207" spans="1:8" ht="26.85" customHeight="1" x14ac:dyDescent="0.3">
      <c r="A207" s="558"/>
      <c r="B207" s="559"/>
      <c r="C207" s="55" t="s">
        <v>6</v>
      </c>
      <c r="D207" s="402" t="s">
        <v>7</v>
      </c>
      <c r="E207" s="403"/>
      <c r="F207" s="7">
        <v>1</v>
      </c>
      <c r="G207" s="550"/>
      <c r="H207" s="551"/>
    </row>
    <row r="208" spans="1:8" ht="17.2" customHeight="1" x14ac:dyDescent="0.3">
      <c r="A208" s="558"/>
      <c r="B208" s="559"/>
      <c r="C208" s="530" t="s">
        <v>8</v>
      </c>
      <c r="D208" s="532" t="s">
        <v>9</v>
      </c>
      <c r="E208" s="533"/>
      <c r="F208" s="5" t="s">
        <v>10</v>
      </c>
      <c r="G208" s="550"/>
      <c r="H208" s="551"/>
    </row>
    <row r="209" spans="1:8" ht="17.2" customHeight="1" x14ac:dyDescent="0.3">
      <c r="A209" s="560"/>
      <c r="B209" s="561"/>
      <c r="C209" s="531"/>
      <c r="D209" s="534"/>
      <c r="E209" s="535"/>
      <c r="F209" s="8">
        <f>$F$6</f>
        <v>45402</v>
      </c>
      <c r="G209" s="552"/>
      <c r="H209" s="553"/>
    </row>
    <row r="210" spans="1:8" ht="17.2" customHeight="1" thickBot="1" x14ac:dyDescent="0.35">
      <c r="A210" s="536"/>
      <c r="B210" s="537"/>
      <c r="C210" s="537"/>
      <c r="D210" s="537"/>
      <c r="E210" s="537"/>
      <c r="F210" s="537"/>
      <c r="G210" s="537"/>
      <c r="H210" s="538"/>
    </row>
    <row r="211" spans="1:8" ht="28.15" customHeight="1" thickBot="1" x14ac:dyDescent="0.35">
      <c r="A211" s="92">
        <v>1.5</v>
      </c>
      <c r="B211" s="539" t="str">
        <f>VLOOKUP(A211,PRESUPUESTO!$A$14:$G$71,2,)</f>
        <v>Demolición de enchape de piso existente</v>
      </c>
      <c r="C211" s="540"/>
      <c r="D211" s="540"/>
      <c r="E211" s="540"/>
      <c r="F211" s="541"/>
      <c r="G211" s="57" t="s">
        <v>31</v>
      </c>
      <c r="H211" s="58" t="str">
        <f>VLOOKUP(A211,PRESUPUESTO!$A$14:$G$71,4,)</f>
        <v>M2</v>
      </c>
    </row>
    <row r="212" spans="1:8" ht="17.2" customHeight="1" x14ac:dyDescent="0.3">
      <c r="A212" s="59"/>
      <c r="H212" s="60"/>
    </row>
    <row r="213" spans="1:8" ht="17.2" customHeight="1" x14ac:dyDescent="0.3">
      <c r="A213" s="61" t="s">
        <v>32</v>
      </c>
      <c r="B213" s="525" t="s">
        <v>33</v>
      </c>
      <c r="C213" s="526"/>
      <c r="D213" s="526"/>
      <c r="E213" s="526"/>
      <c r="F213" s="526"/>
      <c r="G213" s="527"/>
      <c r="H213" s="60"/>
    </row>
    <row r="214" spans="1:8" ht="17.2" customHeight="1" x14ac:dyDescent="0.3">
      <c r="A214" s="62"/>
      <c r="B214" s="518" t="s">
        <v>34</v>
      </c>
      <c r="C214" s="519"/>
      <c r="D214" s="62" t="s">
        <v>35</v>
      </c>
      <c r="E214" s="62" t="s">
        <v>69</v>
      </c>
      <c r="F214" s="62" t="s">
        <v>70</v>
      </c>
      <c r="G214" s="62" t="s">
        <v>38</v>
      </c>
      <c r="H214" s="60"/>
    </row>
    <row r="215" spans="1:8" ht="17.2" customHeight="1" x14ac:dyDescent="0.3">
      <c r="A215" s="63"/>
      <c r="B215" s="542" t="s">
        <v>39</v>
      </c>
      <c r="C215" s="543"/>
      <c r="D215" s="63"/>
      <c r="E215" s="64"/>
      <c r="F215" s="64">
        <v>0.1</v>
      </c>
      <c r="G215" s="65">
        <f>ROUND(H228*F215,2)</f>
        <v>1300</v>
      </c>
      <c r="H215" s="66"/>
    </row>
    <row r="216" spans="1:8" ht="17.2" customHeight="1" x14ac:dyDescent="0.3">
      <c r="A216" s="63"/>
      <c r="B216" s="542" t="s">
        <v>470</v>
      </c>
      <c r="C216" s="543"/>
      <c r="D216" s="62" t="s">
        <v>471</v>
      </c>
      <c r="E216" s="68">
        <v>15000</v>
      </c>
      <c r="F216" s="64">
        <v>0.1</v>
      </c>
      <c r="G216" s="65">
        <f>E216*F216</f>
        <v>1500</v>
      </c>
      <c r="H216" s="66"/>
    </row>
    <row r="217" spans="1:8" ht="17.2" customHeight="1" x14ac:dyDescent="0.3">
      <c r="A217" s="70"/>
      <c r="E217" s="71" t="s">
        <v>40</v>
      </c>
      <c r="F217" s="71"/>
      <c r="G217" s="71"/>
      <c r="H217" s="72">
        <f>ROUND(SUM(G215:G216),2)</f>
        <v>2800</v>
      </c>
    </row>
    <row r="218" spans="1:8" ht="17.2" customHeight="1" x14ac:dyDescent="0.3">
      <c r="A218" s="61" t="s">
        <v>41</v>
      </c>
      <c r="B218" s="525" t="s">
        <v>42</v>
      </c>
      <c r="C218" s="526"/>
      <c r="D218" s="526"/>
      <c r="E218" s="526"/>
      <c r="F218" s="526"/>
      <c r="G218" s="527"/>
      <c r="H218" s="73"/>
    </row>
    <row r="219" spans="1:8" ht="17.2" customHeight="1" x14ac:dyDescent="0.3">
      <c r="A219" s="62"/>
      <c r="B219" s="518" t="s">
        <v>34</v>
      </c>
      <c r="C219" s="519"/>
      <c r="D219" s="63" t="s">
        <v>43</v>
      </c>
      <c r="E219" s="74" t="s">
        <v>44</v>
      </c>
      <c r="F219" s="74" t="s">
        <v>45</v>
      </c>
      <c r="G219" s="74" t="s">
        <v>38</v>
      </c>
      <c r="H219" s="73"/>
    </row>
    <row r="220" spans="1:8" ht="15.05" x14ac:dyDescent="0.3">
      <c r="A220" s="63"/>
      <c r="B220" s="554"/>
      <c r="C220" s="555"/>
      <c r="D220" s="93"/>
      <c r="E220" s="94"/>
      <c r="F220" s="95"/>
      <c r="G220" s="120"/>
      <c r="H220" s="73"/>
    </row>
    <row r="221" spans="1:8" ht="17.2" customHeight="1" x14ac:dyDescent="0.3">
      <c r="A221" s="63"/>
      <c r="B221" s="523"/>
      <c r="C221" s="524"/>
      <c r="D221" s="93"/>
      <c r="E221" s="94"/>
      <c r="F221" s="95"/>
      <c r="G221" s="67"/>
      <c r="H221" s="73"/>
    </row>
    <row r="222" spans="1:8" ht="17.2" customHeight="1" x14ac:dyDescent="0.3">
      <c r="A222" s="70" t="s">
        <v>46</v>
      </c>
      <c r="E222" s="71" t="s">
        <v>47</v>
      </c>
      <c r="F222" s="71"/>
      <c r="G222" s="71"/>
      <c r="H222" s="76">
        <f>ROUND(SUM(G220:G221),2)</f>
        <v>0</v>
      </c>
    </row>
    <row r="223" spans="1:8" ht="17.2" customHeight="1" x14ac:dyDescent="0.3">
      <c r="A223" s="61" t="s">
        <v>48</v>
      </c>
      <c r="B223" s="525" t="s">
        <v>49</v>
      </c>
      <c r="C223" s="526"/>
      <c r="D223" s="526"/>
      <c r="E223" s="526"/>
      <c r="F223" s="526"/>
      <c r="G223" s="527"/>
      <c r="H223" s="73"/>
    </row>
    <row r="224" spans="1:8" ht="17.2" customHeight="1" x14ac:dyDescent="0.3">
      <c r="A224" s="62" t="s">
        <v>50</v>
      </c>
      <c r="B224" s="62" t="s">
        <v>34</v>
      </c>
      <c r="C224" s="62" t="s">
        <v>51</v>
      </c>
      <c r="D224" s="62" t="s">
        <v>52</v>
      </c>
      <c r="E224" s="74" t="s">
        <v>53</v>
      </c>
      <c r="F224" s="64" t="s">
        <v>179</v>
      </c>
      <c r="G224" s="64" t="s">
        <v>38</v>
      </c>
      <c r="H224" s="73"/>
    </row>
    <row r="225" spans="1:8" ht="17.2" customHeight="1" x14ac:dyDescent="0.3">
      <c r="A225" s="62">
        <v>1</v>
      </c>
      <c r="B225" s="63" t="s">
        <v>79</v>
      </c>
      <c r="C225" s="77">
        <v>120000</v>
      </c>
      <c r="D225" s="78">
        <v>0.75</v>
      </c>
      <c r="E225" s="79">
        <f>+(A225*C225)+(A225*C225*D225)</f>
        <v>210000</v>
      </c>
      <c r="F225" s="75">
        <v>35</v>
      </c>
      <c r="G225" s="65">
        <f>ROUND(E225/(F225),2)</f>
        <v>6000</v>
      </c>
      <c r="H225" s="73"/>
    </row>
    <row r="226" spans="1:8" ht="17.2" customHeight="1" x14ac:dyDescent="0.3">
      <c r="A226" s="62">
        <v>2</v>
      </c>
      <c r="B226" s="63" t="s">
        <v>80</v>
      </c>
      <c r="C226" s="77">
        <v>70000</v>
      </c>
      <c r="D226" s="78">
        <v>0.75</v>
      </c>
      <c r="E226" s="79">
        <f>+(A226*C226)+(A226*C226*D226)</f>
        <v>245000</v>
      </c>
      <c r="F226" s="75">
        <v>35</v>
      </c>
      <c r="G226" s="65">
        <f>ROUND(E226/(F226),2)</f>
        <v>7000</v>
      </c>
      <c r="H226" s="73"/>
    </row>
    <row r="227" spans="1:8" ht="17.2" customHeight="1" x14ac:dyDescent="0.3">
      <c r="A227" s="63"/>
      <c r="B227" s="63"/>
      <c r="C227" s="63"/>
      <c r="D227" s="63"/>
      <c r="E227" s="64"/>
      <c r="F227" s="64"/>
      <c r="G227" s="64"/>
      <c r="H227" s="73"/>
    </row>
    <row r="228" spans="1:8" ht="17.2" customHeight="1" x14ac:dyDescent="0.3">
      <c r="A228" s="70"/>
      <c r="E228" s="71" t="s">
        <v>54</v>
      </c>
      <c r="F228" s="71"/>
      <c r="G228" s="71"/>
      <c r="H228" s="72">
        <f>ROUND(SUM(G225)+(G226),2)</f>
        <v>13000</v>
      </c>
    </row>
    <row r="229" spans="1:8" ht="17.2" customHeight="1" x14ac:dyDescent="0.3">
      <c r="A229" s="61" t="s">
        <v>55</v>
      </c>
      <c r="B229" s="525" t="s">
        <v>56</v>
      </c>
      <c r="C229" s="526"/>
      <c r="D229" s="526"/>
      <c r="E229" s="526"/>
      <c r="F229" s="526"/>
      <c r="G229" s="527"/>
      <c r="H229" s="73"/>
    </row>
    <row r="230" spans="1:8" ht="17.2" customHeight="1" x14ac:dyDescent="0.3">
      <c r="A230" s="63"/>
      <c r="B230" s="63" t="s">
        <v>34</v>
      </c>
      <c r="C230" s="62" t="s">
        <v>43</v>
      </c>
      <c r="D230" s="62" t="s">
        <v>57</v>
      </c>
      <c r="E230" s="62" t="s">
        <v>58</v>
      </c>
      <c r="F230" s="62"/>
      <c r="G230" s="64" t="s">
        <v>59</v>
      </c>
      <c r="H230" s="73"/>
    </row>
    <row r="231" spans="1:8" ht="17.2" customHeight="1" x14ac:dyDescent="0.3">
      <c r="A231" s="63"/>
      <c r="B231" s="63" t="s">
        <v>82</v>
      </c>
      <c r="C231" s="80" t="s">
        <v>83</v>
      </c>
      <c r="D231" s="63">
        <v>0.05</v>
      </c>
      <c r="E231" s="64">
        <f>3000000/15</f>
        <v>200000</v>
      </c>
      <c r="F231" s="64"/>
      <c r="G231" s="64">
        <f>D231*E231</f>
        <v>10000</v>
      </c>
      <c r="H231" s="73"/>
    </row>
    <row r="232" spans="1:8" ht="17.2" customHeight="1" x14ac:dyDescent="0.3">
      <c r="A232" s="63"/>
      <c r="B232" s="63"/>
      <c r="C232" s="81"/>
      <c r="D232" s="63"/>
      <c r="E232" s="64"/>
      <c r="F232" s="64"/>
      <c r="G232" s="64"/>
      <c r="H232" s="73"/>
    </row>
    <row r="233" spans="1:8" ht="17.2" customHeight="1" x14ac:dyDescent="0.3">
      <c r="A233" s="63"/>
      <c r="B233" s="63"/>
      <c r="C233" s="63"/>
      <c r="D233" s="63"/>
      <c r="E233" s="64"/>
      <c r="F233" s="64"/>
      <c r="G233" s="64"/>
      <c r="H233" s="73"/>
    </row>
    <row r="234" spans="1:8" ht="17.2" customHeight="1" x14ac:dyDescent="0.3">
      <c r="A234" s="70"/>
      <c r="E234" s="71" t="s">
        <v>54</v>
      </c>
      <c r="F234" s="71"/>
      <c r="G234" s="71"/>
      <c r="H234" s="119">
        <f>ROUND(SUM(G231)+(G232),0)</f>
        <v>10000</v>
      </c>
    </row>
    <row r="235" spans="1:8" ht="17.2" customHeight="1" x14ac:dyDescent="0.3">
      <c r="A235" s="59"/>
      <c r="E235" s="71"/>
      <c r="F235" s="71"/>
      <c r="G235" s="71"/>
      <c r="H235" s="73"/>
    </row>
    <row r="236" spans="1:8" ht="17.2" customHeight="1" x14ac:dyDescent="0.3">
      <c r="A236" s="59"/>
      <c r="D236" s="82" t="s">
        <v>60</v>
      </c>
      <c r="E236" s="83"/>
      <c r="F236" s="83"/>
      <c r="G236" s="83"/>
      <c r="H236" s="72">
        <f>ROUND(SUM(H217:H235),2)</f>
        <v>25800</v>
      </c>
    </row>
    <row r="237" spans="1:8" ht="17.2" customHeight="1" x14ac:dyDescent="0.3">
      <c r="A237" s="59"/>
      <c r="E237" s="71"/>
      <c r="F237" s="71"/>
      <c r="G237" s="71"/>
      <c r="H237" s="73"/>
    </row>
    <row r="238" spans="1:8" ht="17.2" customHeight="1" x14ac:dyDescent="0.3">
      <c r="A238" s="61" t="s">
        <v>61</v>
      </c>
      <c r="B238" s="525" t="s">
        <v>62</v>
      </c>
      <c r="C238" s="526"/>
      <c r="D238" s="526"/>
      <c r="E238" s="526"/>
      <c r="F238" s="526"/>
      <c r="G238" s="527"/>
      <c r="H238" s="73"/>
    </row>
    <row r="239" spans="1:8" ht="17.2" customHeight="1" x14ac:dyDescent="0.3">
      <c r="A239" s="62"/>
      <c r="B239" s="518" t="s">
        <v>34</v>
      </c>
      <c r="C239" s="519"/>
      <c r="D239" s="518" t="s">
        <v>63</v>
      </c>
      <c r="E239" s="519"/>
      <c r="F239" s="528" t="s">
        <v>64</v>
      </c>
      <c r="G239" s="529"/>
      <c r="H239" s="73"/>
    </row>
    <row r="240" spans="1:8" ht="17.2" customHeight="1" x14ac:dyDescent="0.3">
      <c r="A240" s="63"/>
      <c r="B240" s="518" t="s">
        <v>20</v>
      </c>
      <c r="C240" s="519"/>
      <c r="D240" s="520">
        <v>0.28000000000000003</v>
      </c>
      <c r="E240" s="519"/>
      <c r="F240" s="521">
        <f>+H236*D240</f>
        <v>7224.0000000000009</v>
      </c>
      <c r="G240" s="522"/>
      <c r="H240" s="73"/>
    </row>
    <row r="241" spans="1:8" ht="17.2" customHeight="1" x14ac:dyDescent="0.3">
      <c r="A241" s="63"/>
      <c r="B241" s="518" t="s">
        <v>21</v>
      </c>
      <c r="C241" s="519"/>
      <c r="D241" s="520">
        <v>0.01</v>
      </c>
      <c r="E241" s="519"/>
      <c r="F241" s="521">
        <f>+H236*D241</f>
        <v>258</v>
      </c>
      <c r="G241" s="522"/>
      <c r="H241" s="73"/>
    </row>
    <row r="242" spans="1:8" ht="17.2" customHeight="1" x14ac:dyDescent="0.3">
      <c r="A242" s="63"/>
      <c r="B242" s="518" t="s">
        <v>22</v>
      </c>
      <c r="C242" s="519"/>
      <c r="D242" s="520">
        <v>0.03</v>
      </c>
      <c r="E242" s="519"/>
      <c r="F242" s="521">
        <f>+H236*D242</f>
        <v>774</v>
      </c>
      <c r="G242" s="522"/>
      <c r="H242" s="73"/>
    </row>
    <row r="243" spans="1:8" ht="17.2" customHeight="1" x14ac:dyDescent="0.3">
      <c r="A243" s="63"/>
      <c r="B243" s="518" t="s">
        <v>188</v>
      </c>
      <c r="C243" s="519"/>
      <c r="D243" s="520">
        <v>0.19</v>
      </c>
      <c r="E243" s="519"/>
      <c r="F243" s="521">
        <f>D243*F242</f>
        <v>147.06</v>
      </c>
      <c r="G243" s="522"/>
      <c r="H243" s="73"/>
    </row>
    <row r="244" spans="1:8" ht="17.2" customHeight="1" x14ac:dyDescent="0.3">
      <c r="A244" s="59"/>
      <c r="D244" s="82" t="s">
        <v>65</v>
      </c>
      <c r="E244" s="83"/>
      <c r="F244" s="83"/>
      <c r="G244" s="83"/>
      <c r="H244" s="72">
        <f>SUM(F240:G243)</f>
        <v>8403.06</v>
      </c>
    </row>
    <row r="245" spans="1:8" ht="17.2" customHeight="1" x14ac:dyDescent="0.3">
      <c r="A245" s="59"/>
      <c r="E245" s="71"/>
      <c r="F245" s="71"/>
      <c r="G245" s="71"/>
      <c r="H245" s="73"/>
    </row>
    <row r="246" spans="1:8" ht="17.2" customHeight="1" x14ac:dyDescent="0.3">
      <c r="A246" s="59"/>
      <c r="D246" s="82" t="s">
        <v>66</v>
      </c>
      <c r="E246" s="83"/>
      <c r="F246" s="83"/>
      <c r="G246" s="71"/>
      <c r="H246" s="72">
        <f>H236+H244</f>
        <v>34203.06</v>
      </c>
    </row>
    <row r="247" spans="1:8" ht="17.2" customHeight="1" x14ac:dyDescent="0.3">
      <c r="A247" s="59"/>
      <c r="D247" s="82"/>
      <c r="E247" s="83"/>
      <c r="F247" s="83"/>
      <c r="G247" s="71"/>
      <c r="H247" s="73"/>
    </row>
    <row r="248" spans="1:8" ht="17.2" customHeight="1" x14ac:dyDescent="0.3">
      <c r="A248" s="59"/>
      <c r="E248" s="83"/>
      <c r="F248" s="83"/>
      <c r="G248" s="71"/>
      <c r="H248" s="73"/>
    </row>
    <row r="249" spans="1:8" ht="17.2" customHeight="1" x14ac:dyDescent="0.3">
      <c r="A249" s="84"/>
      <c r="B249" s="85"/>
      <c r="E249" s="46"/>
      <c r="F249" s="47"/>
      <c r="G249" s="48"/>
      <c r="H249" s="73"/>
    </row>
    <row r="250" spans="1:8" ht="17.2" customHeight="1" x14ac:dyDescent="0.3">
      <c r="A250" s="86" t="s">
        <v>67</v>
      </c>
      <c r="B250" s="50" t="s">
        <v>68</v>
      </c>
      <c r="E250" s="49" t="s">
        <v>27</v>
      </c>
      <c r="F250" s="50"/>
      <c r="G250" s="50"/>
      <c r="H250" s="87"/>
    </row>
    <row r="251" spans="1:8" ht="17.2" customHeight="1" x14ac:dyDescent="0.3">
      <c r="A251" s="88" t="s">
        <v>28</v>
      </c>
      <c r="B251" s="50"/>
      <c r="E251" s="50" t="str">
        <f ca="1">+$E$52</f>
        <v>SECRETARIO DE PLANEACION Y OBRAS PUBLICAS</v>
      </c>
      <c r="F251" s="50"/>
      <c r="G251" s="50"/>
      <c r="H251" s="87"/>
    </row>
    <row r="252" spans="1:8" ht="18.2" customHeight="1" x14ac:dyDescent="0.3">
      <c r="A252" s="88"/>
      <c r="B252" s="50"/>
      <c r="E252" s="50" t="str">
        <f ca="1">+$E$53</f>
        <v>SAN MIGUEL - PUTUMAYO</v>
      </c>
      <c r="F252" s="50"/>
      <c r="G252" s="50"/>
      <c r="H252" s="87"/>
    </row>
    <row r="253" spans="1:8" ht="18.2" customHeight="1" x14ac:dyDescent="0.3">
      <c r="A253" s="88"/>
      <c r="B253" s="50"/>
      <c r="E253" s="50"/>
      <c r="F253" s="50"/>
      <c r="G253" s="50"/>
      <c r="H253" s="87"/>
    </row>
    <row r="254" spans="1:8" ht="17.2" customHeight="1" x14ac:dyDescent="0.3">
      <c r="A254" s="556"/>
      <c r="B254" s="557"/>
      <c r="C254" s="380" t="s">
        <v>2</v>
      </c>
      <c r="D254" s="382" t="s">
        <v>3</v>
      </c>
      <c r="E254" s="383"/>
      <c r="F254" s="1">
        <v>103</v>
      </c>
      <c r="G254" s="548"/>
      <c r="H254" s="549"/>
    </row>
    <row r="255" spans="1:8" ht="17.2" customHeight="1" x14ac:dyDescent="0.3">
      <c r="A255" s="558"/>
      <c r="B255" s="559"/>
      <c r="C255" s="381"/>
      <c r="D255" s="396" t="s">
        <v>4</v>
      </c>
      <c r="E255" s="397"/>
      <c r="F255" s="400">
        <v>51</v>
      </c>
      <c r="G255" s="550"/>
      <c r="H255" s="551"/>
    </row>
    <row r="256" spans="1:8" ht="17.2" customHeight="1" x14ac:dyDescent="0.3">
      <c r="A256" s="558"/>
      <c r="B256" s="559"/>
      <c r="C256" s="5" t="s">
        <v>5</v>
      </c>
      <c r="D256" s="398"/>
      <c r="E256" s="399"/>
      <c r="F256" s="401"/>
      <c r="G256" s="550"/>
      <c r="H256" s="551"/>
    </row>
    <row r="257" spans="1:8" ht="26.85" customHeight="1" x14ac:dyDescent="0.3">
      <c r="A257" s="558"/>
      <c r="B257" s="559"/>
      <c r="C257" s="55" t="s">
        <v>6</v>
      </c>
      <c r="D257" s="402" t="s">
        <v>7</v>
      </c>
      <c r="E257" s="403"/>
      <c r="F257" s="7">
        <v>1</v>
      </c>
      <c r="G257" s="550"/>
      <c r="H257" s="551"/>
    </row>
    <row r="258" spans="1:8" ht="17.2" customHeight="1" x14ac:dyDescent="0.3">
      <c r="A258" s="558"/>
      <c r="B258" s="559"/>
      <c r="C258" s="530" t="s">
        <v>8</v>
      </c>
      <c r="D258" s="532" t="s">
        <v>9</v>
      </c>
      <c r="E258" s="533"/>
      <c r="F258" s="5" t="s">
        <v>10</v>
      </c>
      <c r="G258" s="550"/>
      <c r="H258" s="551"/>
    </row>
    <row r="259" spans="1:8" ht="17.2" customHeight="1" x14ac:dyDescent="0.3">
      <c r="A259" s="560"/>
      <c r="B259" s="561"/>
      <c r="C259" s="531"/>
      <c r="D259" s="534"/>
      <c r="E259" s="535"/>
      <c r="F259" s="8">
        <f>$F$6</f>
        <v>45402</v>
      </c>
      <c r="G259" s="552"/>
      <c r="H259" s="553"/>
    </row>
    <row r="260" spans="1:8" ht="17.2" customHeight="1" thickBot="1" x14ac:dyDescent="0.35">
      <c r="A260" s="536"/>
      <c r="B260" s="537"/>
      <c r="C260" s="537"/>
      <c r="D260" s="537"/>
      <c r="E260" s="537"/>
      <c r="F260" s="537"/>
      <c r="G260" s="537"/>
      <c r="H260" s="538"/>
    </row>
    <row r="261" spans="1:8" ht="28.15" customHeight="1" thickBot="1" x14ac:dyDescent="0.35">
      <c r="A261" s="92">
        <v>1.6</v>
      </c>
      <c r="B261" s="539" t="str">
        <f>VLOOKUP(A261,PRESUPUESTO!$A$14:$G$71,2,)</f>
        <v>Demolicion de enchape de muro existente</v>
      </c>
      <c r="C261" s="540"/>
      <c r="D261" s="540"/>
      <c r="E261" s="540"/>
      <c r="F261" s="541"/>
      <c r="G261" s="57" t="s">
        <v>31</v>
      </c>
      <c r="H261" s="58" t="str">
        <f>VLOOKUP(A261,PRESUPUESTO!$A$14:$G$71,4,)</f>
        <v>M2</v>
      </c>
    </row>
    <row r="262" spans="1:8" ht="17.2" customHeight="1" x14ac:dyDescent="0.3">
      <c r="A262" s="59"/>
      <c r="H262" s="60"/>
    </row>
    <row r="263" spans="1:8" ht="17.2" customHeight="1" x14ac:dyDescent="0.3">
      <c r="A263" s="61" t="s">
        <v>32</v>
      </c>
      <c r="B263" s="525" t="s">
        <v>33</v>
      </c>
      <c r="C263" s="526"/>
      <c r="D263" s="526"/>
      <c r="E263" s="526"/>
      <c r="F263" s="526"/>
      <c r="G263" s="527"/>
      <c r="H263" s="60"/>
    </row>
    <row r="264" spans="1:8" ht="17.2" customHeight="1" x14ac:dyDescent="0.3">
      <c r="A264" s="62"/>
      <c r="B264" s="518" t="s">
        <v>34</v>
      </c>
      <c r="C264" s="519"/>
      <c r="D264" s="62" t="s">
        <v>35</v>
      </c>
      <c r="E264" s="62" t="s">
        <v>69</v>
      </c>
      <c r="F264" s="62" t="s">
        <v>70</v>
      </c>
      <c r="G264" s="62" t="s">
        <v>38</v>
      </c>
      <c r="H264" s="60"/>
    </row>
    <row r="265" spans="1:8" ht="17.2" customHeight="1" x14ac:dyDescent="0.3">
      <c r="A265" s="63"/>
      <c r="B265" s="542" t="s">
        <v>39</v>
      </c>
      <c r="C265" s="543"/>
      <c r="D265" s="63"/>
      <c r="E265" s="64"/>
      <c r="F265" s="64">
        <v>0.1</v>
      </c>
      <c r="G265" s="65">
        <f>ROUND(H278*F265,2)</f>
        <v>1300</v>
      </c>
      <c r="H265" s="66"/>
    </row>
    <row r="266" spans="1:8" ht="17.2" customHeight="1" x14ac:dyDescent="0.3">
      <c r="A266" s="63"/>
      <c r="H266" s="66"/>
    </row>
    <row r="267" spans="1:8" ht="17.2" customHeight="1" x14ac:dyDescent="0.3">
      <c r="A267" s="70"/>
      <c r="E267" s="71" t="s">
        <v>40</v>
      </c>
      <c r="F267" s="71"/>
      <c r="G267" s="71"/>
      <c r="H267" s="72">
        <f>ROUND(SUM(G265:G266),2)</f>
        <v>1300</v>
      </c>
    </row>
    <row r="268" spans="1:8" ht="17.2" customHeight="1" x14ac:dyDescent="0.3">
      <c r="A268" s="61" t="s">
        <v>41</v>
      </c>
      <c r="B268" s="525" t="s">
        <v>42</v>
      </c>
      <c r="C268" s="526"/>
      <c r="D268" s="526"/>
      <c r="E268" s="526"/>
      <c r="F268" s="526"/>
      <c r="G268" s="527"/>
      <c r="H268" s="73"/>
    </row>
    <row r="269" spans="1:8" ht="17.2" customHeight="1" x14ac:dyDescent="0.3">
      <c r="A269" s="62"/>
      <c r="B269" s="518" t="s">
        <v>34</v>
      </c>
      <c r="C269" s="519"/>
      <c r="D269" s="63" t="s">
        <v>43</v>
      </c>
      <c r="E269" s="74" t="s">
        <v>44</v>
      </c>
      <c r="F269" s="74" t="s">
        <v>45</v>
      </c>
      <c r="G269" s="74" t="s">
        <v>38</v>
      </c>
      <c r="H269" s="73"/>
    </row>
    <row r="270" spans="1:8" ht="15.05" x14ac:dyDescent="0.3">
      <c r="A270" s="63"/>
      <c r="B270" s="554"/>
      <c r="C270" s="555"/>
      <c r="D270" s="93"/>
      <c r="E270" s="94"/>
      <c r="F270" s="95"/>
      <c r="G270" s="120"/>
      <c r="H270" s="73"/>
    </row>
    <row r="271" spans="1:8" ht="17.2" customHeight="1" x14ac:dyDescent="0.3">
      <c r="A271" s="63"/>
      <c r="B271" s="523"/>
      <c r="C271" s="524"/>
      <c r="D271" s="93"/>
      <c r="E271" s="94"/>
      <c r="F271" s="95"/>
      <c r="G271" s="67"/>
      <c r="H271" s="73"/>
    </row>
    <row r="272" spans="1:8" ht="17.2" customHeight="1" x14ac:dyDescent="0.3">
      <c r="A272" s="70" t="s">
        <v>46</v>
      </c>
      <c r="E272" s="71" t="s">
        <v>47</v>
      </c>
      <c r="F272" s="71"/>
      <c r="G272" s="71"/>
      <c r="H272" s="76">
        <f>ROUND(SUM(G270:G271),2)</f>
        <v>0</v>
      </c>
    </row>
    <row r="273" spans="1:8" ht="17.2" customHeight="1" x14ac:dyDescent="0.3">
      <c r="A273" s="61" t="s">
        <v>48</v>
      </c>
      <c r="B273" s="525" t="s">
        <v>49</v>
      </c>
      <c r="C273" s="526"/>
      <c r="D273" s="526"/>
      <c r="E273" s="526"/>
      <c r="F273" s="526"/>
      <c r="G273" s="527"/>
      <c r="H273" s="73"/>
    </row>
    <row r="274" spans="1:8" ht="17.2" customHeight="1" x14ac:dyDescent="0.3">
      <c r="A274" s="62" t="s">
        <v>50</v>
      </c>
      <c r="B274" s="62" t="s">
        <v>34</v>
      </c>
      <c r="C274" s="62" t="s">
        <v>51</v>
      </c>
      <c r="D274" s="62" t="s">
        <v>52</v>
      </c>
      <c r="E274" s="74" t="s">
        <v>53</v>
      </c>
      <c r="F274" s="64" t="s">
        <v>179</v>
      </c>
      <c r="G274" s="64" t="s">
        <v>38</v>
      </c>
      <c r="H274" s="73"/>
    </row>
    <row r="275" spans="1:8" ht="17.2" customHeight="1" x14ac:dyDescent="0.3">
      <c r="A275" s="62">
        <v>1</v>
      </c>
      <c r="B275" s="63" t="s">
        <v>79</v>
      </c>
      <c r="C275" s="77">
        <v>120000</v>
      </c>
      <c r="D275" s="78">
        <v>0.75</v>
      </c>
      <c r="E275" s="79">
        <f>+(A275*C275)+(A275*C275*D275)</f>
        <v>210000</v>
      </c>
      <c r="F275" s="75">
        <v>35</v>
      </c>
      <c r="G275" s="65">
        <f>ROUND(E275/(F275),2)</f>
        <v>6000</v>
      </c>
      <c r="H275" s="73"/>
    </row>
    <row r="276" spans="1:8" ht="17.2" customHeight="1" x14ac:dyDescent="0.3">
      <c r="A276" s="62">
        <v>2</v>
      </c>
      <c r="B276" s="63" t="s">
        <v>80</v>
      </c>
      <c r="C276" s="77">
        <v>70000</v>
      </c>
      <c r="D276" s="78">
        <v>0.75</v>
      </c>
      <c r="E276" s="79">
        <f>+(A276*C276)+(A276*C276*D276)</f>
        <v>245000</v>
      </c>
      <c r="F276" s="75">
        <v>35</v>
      </c>
      <c r="G276" s="65">
        <f>ROUND(E276/(F276),2)</f>
        <v>7000</v>
      </c>
      <c r="H276" s="73"/>
    </row>
    <row r="277" spans="1:8" ht="17.2" customHeight="1" x14ac:dyDescent="0.3">
      <c r="A277" s="63"/>
      <c r="B277" s="63"/>
      <c r="C277" s="63"/>
      <c r="D277" s="63"/>
      <c r="E277" s="64"/>
      <c r="F277" s="64"/>
      <c r="G277" s="64"/>
      <c r="H277" s="73"/>
    </row>
    <row r="278" spans="1:8" ht="17.2" customHeight="1" x14ac:dyDescent="0.3">
      <c r="A278" s="70"/>
      <c r="E278" s="71" t="s">
        <v>54</v>
      </c>
      <c r="F278" s="71"/>
      <c r="G278" s="71"/>
      <c r="H278" s="72">
        <f>ROUND(SUM(G275)+(G276),2)</f>
        <v>13000</v>
      </c>
    </row>
    <row r="279" spans="1:8" ht="17.2" customHeight="1" x14ac:dyDescent="0.3">
      <c r="A279" s="61" t="s">
        <v>55</v>
      </c>
      <c r="B279" s="525" t="s">
        <v>56</v>
      </c>
      <c r="C279" s="526"/>
      <c r="D279" s="526"/>
      <c r="E279" s="526"/>
      <c r="F279" s="526"/>
      <c r="G279" s="527"/>
      <c r="H279" s="73"/>
    </row>
    <row r="280" spans="1:8" ht="17.2" customHeight="1" x14ac:dyDescent="0.3">
      <c r="A280" s="63"/>
      <c r="B280" s="63" t="s">
        <v>34</v>
      </c>
      <c r="C280" s="62" t="s">
        <v>43</v>
      </c>
      <c r="D280" s="62" t="s">
        <v>57</v>
      </c>
      <c r="E280" s="62" t="s">
        <v>58</v>
      </c>
      <c r="F280" s="62"/>
      <c r="G280" s="64" t="s">
        <v>59</v>
      </c>
      <c r="H280" s="73"/>
    </row>
    <row r="281" spans="1:8" ht="17.2" customHeight="1" x14ac:dyDescent="0.3">
      <c r="A281" s="63"/>
      <c r="B281" s="63" t="s">
        <v>82</v>
      </c>
      <c r="C281" s="80" t="s">
        <v>83</v>
      </c>
      <c r="D281" s="63">
        <v>0.05</v>
      </c>
      <c r="E281" s="64">
        <f>3000000/15</f>
        <v>200000</v>
      </c>
      <c r="F281" s="64"/>
      <c r="G281" s="64">
        <f>D281*E281</f>
        <v>10000</v>
      </c>
      <c r="H281" s="73"/>
    </row>
    <row r="282" spans="1:8" ht="17.2" customHeight="1" x14ac:dyDescent="0.3">
      <c r="A282" s="63"/>
      <c r="B282" s="63"/>
      <c r="C282" s="81"/>
      <c r="D282" s="63"/>
      <c r="E282" s="64"/>
      <c r="F282" s="64"/>
      <c r="G282" s="64"/>
      <c r="H282" s="73"/>
    </row>
    <row r="283" spans="1:8" ht="17.2" customHeight="1" x14ac:dyDescent="0.3">
      <c r="A283" s="63"/>
      <c r="B283" s="63"/>
      <c r="C283" s="63"/>
      <c r="D283" s="63"/>
      <c r="E283" s="64"/>
      <c r="F283" s="64"/>
      <c r="G283" s="64"/>
      <c r="H283" s="73"/>
    </row>
    <row r="284" spans="1:8" ht="17.2" customHeight="1" x14ac:dyDescent="0.3">
      <c r="A284" s="70"/>
      <c r="E284" s="71" t="s">
        <v>54</v>
      </c>
      <c r="F284" s="71"/>
      <c r="G284" s="71"/>
      <c r="H284" s="119">
        <f>ROUND(SUM(G281)+(G282),0)</f>
        <v>10000</v>
      </c>
    </row>
    <row r="285" spans="1:8" ht="17.2" customHeight="1" x14ac:dyDescent="0.3">
      <c r="A285" s="59"/>
      <c r="E285" s="71"/>
      <c r="F285" s="71"/>
      <c r="G285" s="71"/>
      <c r="H285" s="73"/>
    </row>
    <row r="286" spans="1:8" ht="17.2" customHeight="1" x14ac:dyDescent="0.3">
      <c r="A286" s="59"/>
      <c r="D286" s="82" t="s">
        <v>60</v>
      </c>
      <c r="E286" s="83"/>
      <c r="F286" s="83"/>
      <c r="G286" s="83"/>
      <c r="H286" s="72">
        <f>ROUND(SUM(H267:H285),2)</f>
        <v>24300</v>
      </c>
    </row>
    <row r="287" spans="1:8" ht="17.2" customHeight="1" x14ac:dyDescent="0.3">
      <c r="A287" s="59"/>
      <c r="E287" s="71"/>
      <c r="F287" s="71"/>
      <c r="G287" s="71"/>
      <c r="H287" s="73"/>
    </row>
    <row r="288" spans="1:8" ht="17.2" customHeight="1" x14ac:dyDescent="0.3">
      <c r="A288" s="61" t="s">
        <v>61</v>
      </c>
      <c r="B288" s="525" t="s">
        <v>62</v>
      </c>
      <c r="C288" s="526"/>
      <c r="D288" s="526"/>
      <c r="E288" s="526"/>
      <c r="F288" s="526"/>
      <c r="G288" s="527"/>
      <c r="H288" s="73"/>
    </row>
    <row r="289" spans="1:8" ht="17.2" customHeight="1" x14ac:dyDescent="0.3">
      <c r="A289" s="62"/>
      <c r="B289" s="518" t="s">
        <v>34</v>
      </c>
      <c r="C289" s="519"/>
      <c r="D289" s="518" t="s">
        <v>63</v>
      </c>
      <c r="E289" s="519"/>
      <c r="F289" s="528" t="s">
        <v>64</v>
      </c>
      <c r="G289" s="529"/>
      <c r="H289" s="73"/>
    </row>
    <row r="290" spans="1:8" ht="17.2" customHeight="1" x14ac:dyDescent="0.3">
      <c r="A290" s="63"/>
      <c r="B290" s="518" t="s">
        <v>20</v>
      </c>
      <c r="C290" s="519"/>
      <c r="D290" s="520">
        <v>0.28000000000000003</v>
      </c>
      <c r="E290" s="519"/>
      <c r="F290" s="521">
        <f>+H286*D290</f>
        <v>6804.0000000000009</v>
      </c>
      <c r="G290" s="522"/>
      <c r="H290" s="73"/>
    </row>
    <row r="291" spans="1:8" ht="17.2" customHeight="1" x14ac:dyDescent="0.3">
      <c r="A291" s="63"/>
      <c r="B291" s="518" t="s">
        <v>21</v>
      </c>
      <c r="C291" s="519"/>
      <c r="D291" s="520">
        <v>0.01</v>
      </c>
      <c r="E291" s="519"/>
      <c r="F291" s="521">
        <f>+H286*D291</f>
        <v>243</v>
      </c>
      <c r="G291" s="522"/>
      <c r="H291" s="73"/>
    </row>
    <row r="292" spans="1:8" ht="17.2" customHeight="1" x14ac:dyDescent="0.3">
      <c r="A292" s="63"/>
      <c r="B292" s="518" t="s">
        <v>22</v>
      </c>
      <c r="C292" s="519"/>
      <c r="D292" s="520">
        <v>0.03</v>
      </c>
      <c r="E292" s="519"/>
      <c r="F292" s="521">
        <f>+H286*D292</f>
        <v>729</v>
      </c>
      <c r="G292" s="522"/>
      <c r="H292" s="73"/>
    </row>
    <row r="293" spans="1:8" ht="17.2" customHeight="1" x14ac:dyDescent="0.3">
      <c r="A293" s="63"/>
      <c r="B293" s="518" t="s">
        <v>188</v>
      </c>
      <c r="C293" s="519"/>
      <c r="D293" s="520">
        <v>0.19</v>
      </c>
      <c r="E293" s="519"/>
      <c r="F293" s="521">
        <f>D293*F292</f>
        <v>138.51</v>
      </c>
      <c r="G293" s="522"/>
      <c r="H293" s="73"/>
    </row>
    <row r="294" spans="1:8" ht="17.2" customHeight="1" x14ac:dyDescent="0.3">
      <c r="A294" s="59"/>
      <c r="D294" s="82" t="s">
        <v>65</v>
      </c>
      <c r="E294" s="83"/>
      <c r="F294" s="83"/>
      <c r="G294" s="83"/>
      <c r="H294" s="72">
        <f>SUM(F290:G293)</f>
        <v>7914.5100000000011</v>
      </c>
    </row>
    <row r="295" spans="1:8" ht="17.2" customHeight="1" x14ac:dyDescent="0.3">
      <c r="A295" s="59"/>
      <c r="E295" s="71"/>
      <c r="F295" s="71"/>
      <c r="G295" s="71"/>
      <c r="H295" s="73"/>
    </row>
    <row r="296" spans="1:8" ht="17.2" customHeight="1" x14ac:dyDescent="0.3">
      <c r="A296" s="59"/>
      <c r="D296" s="82" t="s">
        <v>66</v>
      </c>
      <c r="E296" s="83"/>
      <c r="F296" s="83"/>
      <c r="G296" s="71"/>
      <c r="H296" s="72">
        <f>H286+H294</f>
        <v>32214.510000000002</v>
      </c>
    </row>
    <row r="297" spans="1:8" ht="17.2" customHeight="1" x14ac:dyDescent="0.3">
      <c r="A297" s="59"/>
      <c r="D297" s="82"/>
      <c r="E297" s="83"/>
      <c r="F297" s="83"/>
      <c r="G297" s="71"/>
      <c r="H297" s="73"/>
    </row>
    <row r="298" spans="1:8" ht="17.2" customHeight="1" x14ac:dyDescent="0.3">
      <c r="A298" s="59"/>
      <c r="E298" s="83"/>
      <c r="F298" s="83"/>
      <c r="G298" s="71"/>
      <c r="H298" s="73"/>
    </row>
    <row r="299" spans="1:8" ht="17.2" customHeight="1" x14ac:dyDescent="0.3">
      <c r="A299" s="84"/>
      <c r="B299" s="85"/>
      <c r="E299" s="46"/>
      <c r="F299" s="47"/>
      <c r="G299" s="48"/>
      <c r="H299" s="73"/>
    </row>
    <row r="300" spans="1:8" ht="17.2" customHeight="1" x14ac:dyDescent="0.3">
      <c r="A300" s="86" t="s">
        <v>67</v>
      </c>
      <c r="B300" s="50" t="s">
        <v>68</v>
      </c>
      <c r="E300" s="49" t="s">
        <v>27</v>
      </c>
      <c r="F300" s="50"/>
      <c r="G300" s="50"/>
      <c r="H300" s="87"/>
    </row>
    <row r="301" spans="1:8" ht="17.2" customHeight="1" x14ac:dyDescent="0.3">
      <c r="A301" s="88" t="s">
        <v>28</v>
      </c>
      <c r="B301" s="50"/>
      <c r="E301" s="50" t="str">
        <f ca="1">+$E$52</f>
        <v>SECRETARIO DE PLANEACION Y OBRAS PUBLICAS</v>
      </c>
      <c r="F301" s="50"/>
      <c r="G301" s="50"/>
      <c r="H301" s="87"/>
    </row>
    <row r="302" spans="1:8" ht="18.2" customHeight="1" x14ac:dyDescent="0.3">
      <c r="A302" s="88"/>
      <c r="B302" s="50"/>
      <c r="E302" s="50" t="str">
        <f ca="1">+$E$53</f>
        <v>SAN MIGUEL - PUTUMAYO</v>
      </c>
      <c r="F302" s="50"/>
      <c r="G302" s="50"/>
      <c r="H302" s="87"/>
    </row>
    <row r="303" spans="1:8" ht="18.2" customHeight="1" x14ac:dyDescent="0.3">
      <c r="A303" s="88"/>
      <c r="B303" s="50"/>
      <c r="E303" s="50"/>
      <c r="F303" s="50"/>
      <c r="G303" s="50"/>
      <c r="H303" s="87"/>
    </row>
    <row r="304" spans="1:8" ht="17.2" customHeight="1" x14ac:dyDescent="0.3">
      <c r="A304" s="556"/>
      <c r="B304" s="557"/>
      <c r="C304" s="380" t="s">
        <v>2</v>
      </c>
      <c r="D304" s="382" t="s">
        <v>3</v>
      </c>
      <c r="E304" s="383"/>
      <c r="F304" s="1">
        <v>103</v>
      </c>
      <c r="G304" s="548"/>
      <c r="H304" s="549"/>
    </row>
    <row r="305" spans="1:8" ht="17.2" customHeight="1" x14ac:dyDescent="0.3">
      <c r="A305" s="558"/>
      <c r="B305" s="559"/>
      <c r="C305" s="381"/>
      <c r="D305" s="396" t="s">
        <v>4</v>
      </c>
      <c r="E305" s="397"/>
      <c r="F305" s="400">
        <v>51</v>
      </c>
      <c r="G305" s="550"/>
      <c r="H305" s="551"/>
    </row>
    <row r="306" spans="1:8" ht="17.2" customHeight="1" x14ac:dyDescent="0.3">
      <c r="A306" s="558"/>
      <c r="B306" s="559"/>
      <c r="C306" s="5" t="s">
        <v>5</v>
      </c>
      <c r="D306" s="398"/>
      <c r="E306" s="399"/>
      <c r="F306" s="401"/>
      <c r="G306" s="550"/>
      <c r="H306" s="551"/>
    </row>
    <row r="307" spans="1:8" ht="26.85" customHeight="1" x14ac:dyDescent="0.3">
      <c r="A307" s="558"/>
      <c r="B307" s="559"/>
      <c r="C307" s="55" t="s">
        <v>6</v>
      </c>
      <c r="D307" s="402" t="s">
        <v>7</v>
      </c>
      <c r="E307" s="403"/>
      <c r="F307" s="7">
        <v>1</v>
      </c>
      <c r="G307" s="550"/>
      <c r="H307" s="551"/>
    </row>
    <row r="308" spans="1:8" ht="17.2" customHeight="1" x14ac:dyDescent="0.3">
      <c r="A308" s="558"/>
      <c r="B308" s="559"/>
      <c r="C308" s="530" t="s">
        <v>8</v>
      </c>
      <c r="D308" s="532" t="s">
        <v>9</v>
      </c>
      <c r="E308" s="533"/>
      <c r="F308" s="5" t="s">
        <v>10</v>
      </c>
      <c r="G308" s="550"/>
      <c r="H308" s="551"/>
    </row>
    <row r="309" spans="1:8" ht="17.2" customHeight="1" x14ac:dyDescent="0.3">
      <c r="A309" s="560"/>
      <c r="B309" s="561"/>
      <c r="C309" s="531"/>
      <c r="D309" s="534"/>
      <c r="E309" s="535"/>
      <c r="F309" s="8">
        <f>$F$6</f>
        <v>45402</v>
      </c>
      <c r="G309" s="552"/>
      <c r="H309" s="553"/>
    </row>
    <row r="310" spans="1:8" ht="17.2" customHeight="1" thickBot="1" x14ac:dyDescent="0.35">
      <c r="A310" s="536"/>
      <c r="B310" s="537"/>
      <c r="C310" s="537"/>
      <c r="D310" s="537"/>
      <c r="E310" s="537"/>
      <c r="F310" s="537"/>
      <c r="G310" s="537"/>
      <c r="H310" s="538"/>
    </row>
    <row r="311" spans="1:8" ht="28.15" customHeight="1" thickBot="1" x14ac:dyDescent="0.35">
      <c r="A311" s="92">
        <v>1.7</v>
      </c>
      <c r="B311" s="539" t="str">
        <f>VLOOKUP(A311,PRESUPUESTO!$A$14:$G$71,2,)</f>
        <v>Demolición manual de muro de baño</v>
      </c>
      <c r="C311" s="540"/>
      <c r="D311" s="540"/>
      <c r="E311" s="540"/>
      <c r="F311" s="541"/>
      <c r="G311" s="57" t="s">
        <v>31</v>
      </c>
      <c r="H311" s="58" t="str">
        <f>VLOOKUP(A311,PRESUPUESTO!$A$14:$G$71,4,)</f>
        <v>M2</v>
      </c>
    </row>
    <row r="312" spans="1:8" ht="17.2" customHeight="1" x14ac:dyDescent="0.3">
      <c r="A312" s="59"/>
      <c r="H312" s="60"/>
    </row>
    <row r="313" spans="1:8" ht="17.2" customHeight="1" x14ac:dyDescent="0.3">
      <c r="A313" s="61" t="s">
        <v>32</v>
      </c>
      <c r="B313" s="525" t="s">
        <v>33</v>
      </c>
      <c r="C313" s="526"/>
      <c r="D313" s="526"/>
      <c r="E313" s="526"/>
      <c r="F313" s="526"/>
      <c r="G313" s="527"/>
      <c r="H313" s="60"/>
    </row>
    <row r="314" spans="1:8" ht="17.2" customHeight="1" x14ac:dyDescent="0.3">
      <c r="A314" s="62"/>
      <c r="B314" s="518" t="s">
        <v>34</v>
      </c>
      <c r="C314" s="519"/>
      <c r="D314" s="62" t="s">
        <v>35</v>
      </c>
      <c r="E314" s="62" t="s">
        <v>69</v>
      </c>
      <c r="F314" s="62" t="s">
        <v>70</v>
      </c>
      <c r="G314" s="62" t="s">
        <v>38</v>
      </c>
      <c r="H314" s="60"/>
    </row>
    <row r="315" spans="1:8" ht="17.2" customHeight="1" x14ac:dyDescent="0.3">
      <c r="A315" s="63"/>
      <c r="B315" s="542" t="s">
        <v>39</v>
      </c>
      <c r="C315" s="543"/>
      <c r="D315" s="63"/>
      <c r="E315" s="64"/>
      <c r="F315" s="64">
        <v>0.1</v>
      </c>
      <c r="G315" s="65">
        <f>ROUND(H328*F315,2)</f>
        <v>1300</v>
      </c>
      <c r="H315" s="66"/>
    </row>
    <row r="316" spans="1:8" ht="17.2" customHeight="1" x14ac:dyDescent="0.3">
      <c r="A316" s="63"/>
      <c r="B316" s="542"/>
      <c r="C316" s="543"/>
      <c r="D316" s="62"/>
      <c r="E316" s="68"/>
      <c r="F316" s="64"/>
      <c r="G316" s="65"/>
      <c r="H316" s="66"/>
    </row>
    <row r="317" spans="1:8" ht="17.2" customHeight="1" x14ac:dyDescent="0.3">
      <c r="A317" s="70"/>
      <c r="E317" s="71" t="s">
        <v>40</v>
      </c>
      <c r="F317" s="71"/>
      <c r="G317" s="71"/>
      <c r="H317" s="72">
        <f>ROUND(SUM(G315:G316),2)</f>
        <v>1300</v>
      </c>
    </row>
    <row r="318" spans="1:8" ht="17.2" customHeight="1" x14ac:dyDescent="0.3">
      <c r="A318" s="61" t="s">
        <v>41</v>
      </c>
      <c r="B318" s="525" t="s">
        <v>42</v>
      </c>
      <c r="C318" s="526"/>
      <c r="D318" s="526"/>
      <c r="E318" s="526"/>
      <c r="F318" s="526"/>
      <c r="G318" s="527"/>
      <c r="H318" s="73"/>
    </row>
    <row r="319" spans="1:8" ht="17.2" customHeight="1" x14ac:dyDescent="0.3">
      <c r="A319" s="62"/>
      <c r="B319" s="518" t="s">
        <v>34</v>
      </c>
      <c r="C319" s="519"/>
      <c r="D319" s="63" t="s">
        <v>43</v>
      </c>
      <c r="E319" s="74" t="s">
        <v>44</v>
      </c>
      <c r="F319" s="74" t="s">
        <v>45</v>
      </c>
      <c r="G319" s="74" t="s">
        <v>38</v>
      </c>
      <c r="H319" s="73"/>
    </row>
    <row r="320" spans="1:8" ht="15.05" x14ac:dyDescent="0.3">
      <c r="A320" s="63"/>
      <c r="B320" s="554"/>
      <c r="C320" s="555"/>
      <c r="D320" s="93"/>
      <c r="E320" s="94"/>
      <c r="F320" s="95"/>
      <c r="G320" s="120"/>
      <c r="H320" s="73"/>
    </row>
    <row r="321" spans="1:8" ht="17.2" customHeight="1" x14ac:dyDescent="0.3">
      <c r="A321" s="63"/>
      <c r="B321" s="523"/>
      <c r="C321" s="524"/>
      <c r="D321" s="93"/>
      <c r="E321" s="94"/>
      <c r="F321" s="95"/>
      <c r="G321" s="67"/>
      <c r="H321" s="73"/>
    </row>
    <row r="322" spans="1:8" ht="17.2" customHeight="1" x14ac:dyDescent="0.3">
      <c r="A322" s="70" t="s">
        <v>46</v>
      </c>
      <c r="E322" s="71" t="s">
        <v>47</v>
      </c>
      <c r="F322" s="71"/>
      <c r="G322" s="71"/>
      <c r="H322" s="76">
        <f>ROUND(SUM(G320:G321),2)</f>
        <v>0</v>
      </c>
    </row>
    <row r="323" spans="1:8" ht="17.2" customHeight="1" x14ac:dyDescent="0.3">
      <c r="A323" s="61" t="s">
        <v>48</v>
      </c>
      <c r="B323" s="525" t="s">
        <v>49</v>
      </c>
      <c r="C323" s="526"/>
      <c r="D323" s="526"/>
      <c r="E323" s="526"/>
      <c r="F323" s="526"/>
      <c r="G323" s="527"/>
      <c r="H323" s="73"/>
    </row>
    <row r="324" spans="1:8" ht="17.2" customHeight="1" x14ac:dyDescent="0.3">
      <c r="A324" s="62" t="s">
        <v>50</v>
      </c>
      <c r="B324" s="62" t="s">
        <v>34</v>
      </c>
      <c r="C324" s="62" t="s">
        <v>51</v>
      </c>
      <c r="D324" s="62" t="s">
        <v>52</v>
      </c>
      <c r="E324" s="74" t="s">
        <v>53</v>
      </c>
      <c r="F324" s="64" t="s">
        <v>179</v>
      </c>
      <c r="G324" s="64" t="s">
        <v>38</v>
      </c>
      <c r="H324" s="73"/>
    </row>
    <row r="325" spans="1:8" ht="17.2" customHeight="1" x14ac:dyDescent="0.3">
      <c r="A325" s="62">
        <v>1</v>
      </c>
      <c r="B325" s="63" t="s">
        <v>79</v>
      </c>
      <c r="C325" s="77">
        <v>120000</v>
      </c>
      <c r="D325" s="78">
        <v>0.75</v>
      </c>
      <c r="E325" s="79">
        <f>+(A325*C325)+(A325*C325*D325)</f>
        <v>210000</v>
      </c>
      <c r="F325" s="75">
        <v>35</v>
      </c>
      <c r="G325" s="65">
        <f>ROUND(E325/(F325),2)</f>
        <v>6000</v>
      </c>
      <c r="H325" s="73"/>
    </row>
    <row r="326" spans="1:8" ht="17.2" customHeight="1" x14ac:dyDescent="0.3">
      <c r="A326" s="62">
        <v>2</v>
      </c>
      <c r="B326" s="63" t="s">
        <v>80</v>
      </c>
      <c r="C326" s="77">
        <v>70000</v>
      </c>
      <c r="D326" s="78">
        <v>0.75</v>
      </c>
      <c r="E326" s="79">
        <f>+(A326*C326)+(A326*C326*D326)</f>
        <v>245000</v>
      </c>
      <c r="F326" s="75">
        <v>35</v>
      </c>
      <c r="G326" s="65">
        <f>ROUND(E326/(F326),2)</f>
        <v>7000</v>
      </c>
      <c r="H326" s="73"/>
    </row>
    <row r="327" spans="1:8" ht="17.2" customHeight="1" x14ac:dyDescent="0.3">
      <c r="A327" s="63"/>
      <c r="B327" s="63"/>
      <c r="C327" s="63"/>
      <c r="D327" s="63"/>
      <c r="E327" s="64"/>
      <c r="F327" s="64"/>
      <c r="G327" s="64"/>
      <c r="H327" s="73"/>
    </row>
    <row r="328" spans="1:8" ht="17.2" customHeight="1" x14ac:dyDescent="0.3">
      <c r="A328" s="70"/>
      <c r="E328" s="71" t="s">
        <v>54</v>
      </c>
      <c r="F328" s="71"/>
      <c r="G328" s="71"/>
      <c r="H328" s="72">
        <f>ROUND(SUM(G325)+(G326),2)</f>
        <v>13000</v>
      </c>
    </row>
    <row r="329" spans="1:8" ht="17.2" customHeight="1" x14ac:dyDescent="0.3">
      <c r="A329" s="61" t="s">
        <v>55</v>
      </c>
      <c r="B329" s="525" t="s">
        <v>56</v>
      </c>
      <c r="C329" s="526"/>
      <c r="D329" s="526"/>
      <c r="E329" s="526"/>
      <c r="F329" s="526"/>
      <c r="G329" s="527"/>
      <c r="H329" s="73"/>
    </row>
    <row r="330" spans="1:8" ht="17.2" customHeight="1" x14ac:dyDescent="0.3">
      <c r="A330" s="63"/>
      <c r="B330" s="63" t="s">
        <v>34</v>
      </c>
      <c r="C330" s="62" t="s">
        <v>43</v>
      </c>
      <c r="D330" s="62" t="s">
        <v>57</v>
      </c>
      <c r="E330" s="62" t="s">
        <v>58</v>
      </c>
      <c r="F330" s="62"/>
      <c r="G330" s="64" t="s">
        <v>59</v>
      </c>
      <c r="H330" s="73"/>
    </row>
    <row r="331" spans="1:8" ht="17.2" customHeight="1" x14ac:dyDescent="0.3">
      <c r="A331" s="63"/>
      <c r="B331" s="63" t="s">
        <v>82</v>
      </c>
      <c r="C331" s="80" t="s">
        <v>83</v>
      </c>
      <c r="D331" s="63">
        <v>0.12</v>
      </c>
      <c r="E331" s="64">
        <f>3000000/15</f>
        <v>200000</v>
      </c>
      <c r="F331" s="64"/>
      <c r="G331" s="64">
        <f>D331*E331</f>
        <v>24000</v>
      </c>
      <c r="H331" s="73"/>
    </row>
    <row r="332" spans="1:8" ht="17.2" customHeight="1" x14ac:dyDescent="0.3">
      <c r="A332" s="63"/>
      <c r="B332" s="63"/>
      <c r="C332" s="81"/>
      <c r="D332" s="63"/>
      <c r="E332" s="64"/>
      <c r="F332" s="64"/>
      <c r="G332" s="64"/>
      <c r="H332" s="73"/>
    </row>
    <row r="333" spans="1:8" ht="17.2" customHeight="1" x14ac:dyDescent="0.3">
      <c r="A333" s="63"/>
      <c r="B333" s="63"/>
      <c r="C333" s="63"/>
      <c r="D333" s="63"/>
      <c r="E333" s="64"/>
      <c r="F333" s="64"/>
      <c r="G333" s="64"/>
      <c r="H333" s="73"/>
    </row>
    <row r="334" spans="1:8" ht="17.2" customHeight="1" x14ac:dyDescent="0.3">
      <c r="A334" s="70"/>
      <c r="E334" s="71" t="s">
        <v>54</v>
      </c>
      <c r="F334" s="71"/>
      <c r="G334" s="71"/>
      <c r="H334" s="119">
        <f>ROUND(SUM(G331)+(G332),0)</f>
        <v>24000</v>
      </c>
    </row>
    <row r="335" spans="1:8" ht="17.2" customHeight="1" x14ac:dyDescent="0.3">
      <c r="A335" s="59"/>
      <c r="E335" s="71"/>
      <c r="F335" s="71"/>
      <c r="G335" s="71"/>
      <c r="H335" s="73"/>
    </row>
    <row r="336" spans="1:8" ht="17.2" customHeight="1" x14ac:dyDescent="0.3">
      <c r="A336" s="59"/>
      <c r="D336" s="82" t="s">
        <v>60</v>
      </c>
      <c r="E336" s="83"/>
      <c r="F336" s="83"/>
      <c r="G336" s="83"/>
      <c r="H336" s="72">
        <f>ROUND(SUM(H317:H335),2)</f>
        <v>38300</v>
      </c>
    </row>
    <row r="337" spans="1:8" ht="17.2" customHeight="1" x14ac:dyDescent="0.3">
      <c r="A337" s="59"/>
      <c r="E337" s="71"/>
      <c r="F337" s="71"/>
      <c r="G337" s="71"/>
      <c r="H337" s="73"/>
    </row>
    <row r="338" spans="1:8" ht="17.2" customHeight="1" x14ac:dyDescent="0.3">
      <c r="A338" s="61" t="s">
        <v>61</v>
      </c>
      <c r="B338" s="525" t="s">
        <v>62</v>
      </c>
      <c r="C338" s="526"/>
      <c r="D338" s="526"/>
      <c r="E338" s="526"/>
      <c r="F338" s="526"/>
      <c r="G338" s="527"/>
      <c r="H338" s="73"/>
    </row>
    <row r="339" spans="1:8" ht="17.2" customHeight="1" x14ac:dyDescent="0.3">
      <c r="A339" s="62"/>
      <c r="B339" s="518" t="s">
        <v>34</v>
      </c>
      <c r="C339" s="519"/>
      <c r="D339" s="518" t="s">
        <v>63</v>
      </c>
      <c r="E339" s="519"/>
      <c r="F339" s="528" t="s">
        <v>64</v>
      </c>
      <c r="G339" s="529"/>
      <c r="H339" s="73"/>
    </row>
    <row r="340" spans="1:8" ht="17.2" customHeight="1" x14ac:dyDescent="0.3">
      <c r="A340" s="63"/>
      <c r="B340" s="518" t="s">
        <v>20</v>
      </c>
      <c r="C340" s="519"/>
      <c r="D340" s="520">
        <v>0.28000000000000003</v>
      </c>
      <c r="E340" s="519"/>
      <c r="F340" s="521">
        <f>+H336*D340</f>
        <v>10724.000000000002</v>
      </c>
      <c r="G340" s="522"/>
      <c r="H340" s="73"/>
    </row>
    <row r="341" spans="1:8" ht="17.2" customHeight="1" x14ac:dyDescent="0.3">
      <c r="A341" s="63"/>
      <c r="B341" s="518" t="s">
        <v>21</v>
      </c>
      <c r="C341" s="519"/>
      <c r="D341" s="520">
        <v>0.01</v>
      </c>
      <c r="E341" s="519"/>
      <c r="F341" s="521">
        <f>+H336*D341</f>
        <v>383</v>
      </c>
      <c r="G341" s="522"/>
      <c r="H341" s="73"/>
    </row>
    <row r="342" spans="1:8" ht="17.2" customHeight="1" x14ac:dyDescent="0.3">
      <c r="A342" s="63"/>
      <c r="B342" s="518" t="s">
        <v>22</v>
      </c>
      <c r="C342" s="519"/>
      <c r="D342" s="520">
        <v>0.03</v>
      </c>
      <c r="E342" s="519"/>
      <c r="F342" s="521">
        <f>+H336*D342</f>
        <v>1149</v>
      </c>
      <c r="G342" s="522"/>
      <c r="H342" s="73"/>
    </row>
    <row r="343" spans="1:8" ht="17.2" customHeight="1" x14ac:dyDescent="0.3">
      <c r="A343" s="63"/>
      <c r="B343" s="518" t="s">
        <v>188</v>
      </c>
      <c r="C343" s="519"/>
      <c r="D343" s="520">
        <v>0.19</v>
      </c>
      <c r="E343" s="519"/>
      <c r="F343" s="521">
        <f>D343*F342</f>
        <v>218.31</v>
      </c>
      <c r="G343" s="522"/>
      <c r="H343" s="73"/>
    </row>
    <row r="344" spans="1:8" ht="17.2" customHeight="1" x14ac:dyDescent="0.3">
      <c r="A344" s="59"/>
      <c r="D344" s="82" t="s">
        <v>65</v>
      </c>
      <c r="E344" s="83"/>
      <c r="F344" s="83"/>
      <c r="G344" s="83"/>
      <c r="H344" s="72">
        <f>SUM(F340:G343)</f>
        <v>12474.310000000001</v>
      </c>
    </row>
    <row r="345" spans="1:8" ht="17.2" customHeight="1" x14ac:dyDescent="0.3">
      <c r="A345" s="59"/>
      <c r="E345" s="71"/>
      <c r="F345" s="71"/>
      <c r="G345" s="71"/>
      <c r="H345" s="73"/>
    </row>
    <row r="346" spans="1:8" ht="17.2" customHeight="1" x14ac:dyDescent="0.3">
      <c r="A346" s="59"/>
      <c r="D346" s="82" t="s">
        <v>66</v>
      </c>
      <c r="E346" s="83"/>
      <c r="F346" s="83"/>
      <c r="G346" s="71"/>
      <c r="H346" s="72">
        <f>H336+H344</f>
        <v>50774.31</v>
      </c>
    </row>
    <row r="347" spans="1:8" ht="17.2" customHeight="1" x14ac:dyDescent="0.3">
      <c r="A347" s="59"/>
      <c r="D347" s="82"/>
      <c r="E347" s="83"/>
      <c r="F347" s="83"/>
      <c r="G347" s="71"/>
      <c r="H347" s="73"/>
    </row>
    <row r="348" spans="1:8" ht="17.2" customHeight="1" x14ac:dyDescent="0.3">
      <c r="A348" s="59"/>
      <c r="E348" s="83"/>
      <c r="F348" s="83"/>
      <c r="G348" s="71"/>
      <c r="H348" s="73"/>
    </row>
    <row r="349" spans="1:8" ht="17.2" customHeight="1" x14ac:dyDescent="0.3">
      <c r="A349" s="84"/>
      <c r="B349" s="85"/>
      <c r="E349" s="46"/>
      <c r="F349" s="47"/>
      <c r="G349" s="48"/>
      <c r="H349" s="73"/>
    </row>
    <row r="350" spans="1:8" ht="17.2" customHeight="1" x14ac:dyDescent="0.3">
      <c r="A350" s="86" t="s">
        <v>67</v>
      </c>
      <c r="B350" s="50" t="s">
        <v>68</v>
      </c>
      <c r="E350" s="49" t="s">
        <v>27</v>
      </c>
      <c r="F350" s="50"/>
      <c r="G350" s="50"/>
      <c r="H350" s="87"/>
    </row>
    <row r="351" spans="1:8" ht="17.2" customHeight="1" x14ac:dyDescent="0.3">
      <c r="A351" s="88" t="s">
        <v>28</v>
      </c>
      <c r="B351" s="50"/>
      <c r="E351" s="50" t="str">
        <f ca="1">+$E$52</f>
        <v>SECRETARIO DE PLANEACION Y OBRAS PUBLICAS</v>
      </c>
      <c r="F351" s="50"/>
      <c r="G351" s="50"/>
      <c r="H351" s="87"/>
    </row>
    <row r="352" spans="1:8" ht="18.2" customHeight="1" x14ac:dyDescent="0.3">
      <c r="A352" s="88"/>
      <c r="B352" s="50"/>
      <c r="E352" s="50" t="str">
        <f ca="1">+$E$53</f>
        <v>SAN MIGUEL - PUTUMAYO</v>
      </c>
      <c r="F352" s="50"/>
      <c r="G352" s="50"/>
      <c r="H352" s="87"/>
    </row>
    <row r="353" spans="1:8" ht="18.2" customHeight="1" x14ac:dyDescent="0.3">
      <c r="A353" s="88"/>
      <c r="B353" s="50"/>
      <c r="E353" s="50"/>
      <c r="F353" s="50"/>
      <c r="G353" s="50"/>
      <c r="H353" s="87"/>
    </row>
    <row r="354" spans="1:8" ht="17.2" customHeight="1" x14ac:dyDescent="0.3">
      <c r="A354" s="556"/>
      <c r="B354" s="557"/>
      <c r="C354" s="380" t="s">
        <v>2</v>
      </c>
      <c r="D354" s="382" t="s">
        <v>3</v>
      </c>
      <c r="E354" s="383"/>
      <c r="F354" s="1">
        <v>103</v>
      </c>
      <c r="G354" s="548"/>
      <c r="H354" s="549"/>
    </row>
    <row r="355" spans="1:8" ht="17.2" customHeight="1" x14ac:dyDescent="0.3">
      <c r="A355" s="558"/>
      <c r="B355" s="559"/>
      <c r="C355" s="381"/>
      <c r="D355" s="396" t="s">
        <v>4</v>
      </c>
      <c r="E355" s="397"/>
      <c r="F355" s="400">
        <v>51</v>
      </c>
      <c r="G355" s="550"/>
      <c r="H355" s="551"/>
    </row>
    <row r="356" spans="1:8" ht="17.2" customHeight="1" x14ac:dyDescent="0.3">
      <c r="A356" s="558"/>
      <c r="B356" s="559"/>
      <c r="C356" s="5" t="s">
        <v>5</v>
      </c>
      <c r="D356" s="398"/>
      <c r="E356" s="399"/>
      <c r="F356" s="401"/>
      <c r="G356" s="550"/>
      <c r="H356" s="551"/>
    </row>
    <row r="357" spans="1:8" ht="26.85" customHeight="1" x14ac:dyDescent="0.3">
      <c r="A357" s="558"/>
      <c r="B357" s="559"/>
      <c r="C357" s="55" t="s">
        <v>6</v>
      </c>
      <c r="D357" s="402" t="s">
        <v>7</v>
      </c>
      <c r="E357" s="403"/>
      <c r="F357" s="7">
        <v>1</v>
      </c>
      <c r="G357" s="550"/>
      <c r="H357" s="551"/>
    </row>
    <row r="358" spans="1:8" ht="17.2" customHeight="1" x14ac:dyDescent="0.3">
      <c r="A358" s="558"/>
      <c r="B358" s="559"/>
      <c r="C358" s="530" t="s">
        <v>8</v>
      </c>
      <c r="D358" s="532" t="s">
        <v>9</v>
      </c>
      <c r="E358" s="533"/>
      <c r="F358" s="5" t="s">
        <v>10</v>
      </c>
      <c r="G358" s="550"/>
      <c r="H358" s="551"/>
    </row>
    <row r="359" spans="1:8" ht="17.2" customHeight="1" x14ac:dyDescent="0.3">
      <c r="A359" s="560"/>
      <c r="B359" s="561"/>
      <c r="C359" s="531"/>
      <c r="D359" s="534"/>
      <c r="E359" s="535"/>
      <c r="F359" s="8">
        <f>$F$6</f>
        <v>45402</v>
      </c>
      <c r="G359" s="552"/>
      <c r="H359" s="553"/>
    </row>
    <row r="360" spans="1:8" ht="17.2" customHeight="1" thickBot="1" x14ac:dyDescent="0.35">
      <c r="A360" s="536"/>
      <c r="B360" s="537"/>
      <c r="C360" s="537"/>
      <c r="D360" s="537"/>
      <c r="E360" s="537"/>
      <c r="F360" s="537"/>
      <c r="G360" s="537"/>
      <c r="H360" s="538"/>
    </row>
    <row r="361" spans="1:8" ht="28.15" customHeight="1" thickBot="1" x14ac:dyDescent="0.35">
      <c r="A361" s="92">
        <v>1.7</v>
      </c>
      <c r="B361" s="539" t="str">
        <f>VLOOKUP(A361,PRESUPUESTO!$A$14:$G$71,2,)</f>
        <v>Demolición manual de muro de baño</v>
      </c>
      <c r="C361" s="540"/>
      <c r="D361" s="540"/>
      <c r="E361" s="540"/>
      <c r="F361" s="541"/>
      <c r="G361" s="57" t="s">
        <v>31</v>
      </c>
      <c r="H361" s="58" t="str">
        <f>VLOOKUP(A361,PRESUPUESTO!$A$14:$G$71,4,)</f>
        <v>M2</v>
      </c>
    </row>
    <row r="362" spans="1:8" ht="17.2" customHeight="1" x14ac:dyDescent="0.3">
      <c r="A362" s="59"/>
      <c r="H362" s="60"/>
    </row>
    <row r="363" spans="1:8" ht="17.2" customHeight="1" x14ac:dyDescent="0.3">
      <c r="A363" s="61" t="s">
        <v>32</v>
      </c>
      <c r="B363" s="525" t="s">
        <v>33</v>
      </c>
      <c r="C363" s="526"/>
      <c r="D363" s="526"/>
      <c r="E363" s="526"/>
      <c r="F363" s="526"/>
      <c r="G363" s="527"/>
      <c r="H363" s="60"/>
    </row>
    <row r="364" spans="1:8" ht="17.2" customHeight="1" x14ac:dyDescent="0.3">
      <c r="A364" s="62"/>
      <c r="B364" s="518" t="s">
        <v>34</v>
      </c>
      <c r="C364" s="519"/>
      <c r="D364" s="62" t="s">
        <v>35</v>
      </c>
      <c r="E364" s="62" t="s">
        <v>69</v>
      </c>
      <c r="F364" s="62" t="s">
        <v>70</v>
      </c>
      <c r="G364" s="62" t="s">
        <v>38</v>
      </c>
      <c r="H364" s="60"/>
    </row>
    <row r="365" spans="1:8" ht="17.2" customHeight="1" x14ac:dyDescent="0.3">
      <c r="A365" s="63"/>
      <c r="B365" s="542" t="s">
        <v>39</v>
      </c>
      <c r="C365" s="543"/>
      <c r="D365" s="63"/>
      <c r="E365" s="64"/>
      <c r="F365" s="64">
        <v>0.1</v>
      </c>
      <c r="G365" s="65">
        <f>ROUND(H378*F365,2)</f>
        <v>2216.67</v>
      </c>
      <c r="H365" s="66"/>
    </row>
    <row r="366" spans="1:8" ht="17.2" customHeight="1" x14ac:dyDescent="0.3">
      <c r="A366" s="63"/>
      <c r="B366" s="542"/>
      <c r="C366" s="543"/>
      <c r="D366" s="62"/>
      <c r="E366" s="68"/>
      <c r="F366" s="64"/>
      <c r="G366" s="69"/>
      <c r="H366" s="66"/>
    </row>
    <row r="367" spans="1:8" ht="17.2" customHeight="1" x14ac:dyDescent="0.3">
      <c r="A367" s="70"/>
      <c r="E367" s="71" t="s">
        <v>40</v>
      </c>
      <c r="F367" s="71"/>
      <c r="G367" s="71"/>
      <c r="H367" s="72">
        <f>ROUND(SUM(G365:G366),2)</f>
        <v>2216.67</v>
      </c>
    </row>
    <row r="368" spans="1:8" ht="17.2" customHeight="1" x14ac:dyDescent="0.3">
      <c r="A368" s="61" t="s">
        <v>41</v>
      </c>
      <c r="B368" s="525" t="s">
        <v>42</v>
      </c>
      <c r="C368" s="526"/>
      <c r="D368" s="526"/>
      <c r="E368" s="526"/>
      <c r="F368" s="526"/>
      <c r="G368" s="527"/>
      <c r="H368" s="73"/>
    </row>
    <row r="369" spans="1:8" ht="17.2" customHeight="1" x14ac:dyDescent="0.3">
      <c r="A369" s="62"/>
      <c r="B369" s="518" t="s">
        <v>34</v>
      </c>
      <c r="C369" s="519"/>
      <c r="D369" s="63" t="s">
        <v>43</v>
      </c>
      <c r="E369" s="74" t="s">
        <v>44</v>
      </c>
      <c r="F369" s="74" t="s">
        <v>45</v>
      </c>
      <c r="G369" s="74" t="s">
        <v>38</v>
      </c>
      <c r="H369" s="73"/>
    </row>
    <row r="370" spans="1:8" ht="15.05" x14ac:dyDescent="0.3">
      <c r="A370" s="63"/>
      <c r="B370" s="554"/>
      <c r="C370" s="555"/>
      <c r="D370" s="93"/>
      <c r="E370" s="94"/>
      <c r="F370" s="95"/>
      <c r="G370" s="120"/>
      <c r="H370" s="73"/>
    </row>
    <row r="371" spans="1:8" ht="17.2" customHeight="1" x14ac:dyDescent="0.3">
      <c r="A371" s="63"/>
      <c r="B371" s="523"/>
      <c r="C371" s="524"/>
      <c r="D371" s="93"/>
      <c r="E371" s="94"/>
      <c r="F371" s="95"/>
      <c r="G371" s="67"/>
      <c r="H371" s="73"/>
    </row>
    <row r="372" spans="1:8" ht="17.2" customHeight="1" x14ac:dyDescent="0.3">
      <c r="A372" s="70" t="s">
        <v>46</v>
      </c>
      <c r="E372" s="71" t="s">
        <v>47</v>
      </c>
      <c r="F372" s="71"/>
      <c r="G372" s="71"/>
      <c r="H372" s="76">
        <f>ROUND(SUM(G370:G371),2)</f>
        <v>0</v>
      </c>
    </row>
    <row r="373" spans="1:8" ht="17.2" customHeight="1" x14ac:dyDescent="0.3">
      <c r="A373" s="61" t="s">
        <v>48</v>
      </c>
      <c r="B373" s="525" t="s">
        <v>49</v>
      </c>
      <c r="C373" s="526"/>
      <c r="D373" s="526"/>
      <c r="E373" s="526"/>
      <c r="F373" s="526"/>
      <c r="G373" s="527"/>
      <c r="H373" s="73"/>
    </row>
    <row r="374" spans="1:8" ht="17.2" customHeight="1" x14ac:dyDescent="0.3">
      <c r="A374" s="62" t="s">
        <v>50</v>
      </c>
      <c r="B374" s="62" t="s">
        <v>34</v>
      </c>
      <c r="C374" s="62" t="s">
        <v>51</v>
      </c>
      <c r="D374" s="62" t="s">
        <v>52</v>
      </c>
      <c r="E374" s="74" t="s">
        <v>53</v>
      </c>
      <c r="F374" s="64" t="s">
        <v>179</v>
      </c>
      <c r="G374" s="64" t="s">
        <v>38</v>
      </c>
      <c r="H374" s="73"/>
    </row>
    <row r="375" spans="1:8" ht="17.2" customHeight="1" x14ac:dyDescent="0.3">
      <c r="A375" s="62">
        <v>1</v>
      </c>
      <c r="B375" s="63" t="s">
        <v>79</v>
      </c>
      <c r="C375" s="77">
        <v>120000</v>
      </c>
      <c r="D375" s="78">
        <v>0.75</v>
      </c>
      <c r="E375" s="79">
        <f>+(A375*C375)+(A375*C375*D375)</f>
        <v>210000</v>
      </c>
      <c r="F375" s="75">
        <v>15</v>
      </c>
      <c r="G375" s="65">
        <f>ROUND(E375/(F375),2)</f>
        <v>14000</v>
      </c>
      <c r="H375" s="73"/>
    </row>
    <row r="376" spans="1:8" ht="17.2" customHeight="1" x14ac:dyDescent="0.3">
      <c r="A376" s="62">
        <v>1</v>
      </c>
      <c r="B376" s="63" t="s">
        <v>80</v>
      </c>
      <c r="C376" s="77">
        <v>70000</v>
      </c>
      <c r="D376" s="78">
        <v>0.75</v>
      </c>
      <c r="E376" s="79">
        <f>+(A376*C376)+(A376*C376*D376)</f>
        <v>122500</v>
      </c>
      <c r="F376" s="75">
        <v>15</v>
      </c>
      <c r="G376" s="65">
        <f>ROUND(E376/(F376),2)</f>
        <v>8166.67</v>
      </c>
      <c r="H376" s="73"/>
    </row>
    <row r="377" spans="1:8" ht="17.2" customHeight="1" x14ac:dyDescent="0.3">
      <c r="A377" s="63"/>
      <c r="B377" s="63"/>
      <c r="C377" s="63"/>
      <c r="D377" s="63"/>
      <c r="E377" s="64"/>
      <c r="F377" s="64"/>
      <c r="G377" s="64"/>
      <c r="H377" s="73"/>
    </row>
    <row r="378" spans="1:8" ht="17.2" customHeight="1" x14ac:dyDescent="0.3">
      <c r="A378" s="70"/>
      <c r="E378" s="71" t="s">
        <v>54</v>
      </c>
      <c r="F378" s="71"/>
      <c r="G378" s="71"/>
      <c r="H378" s="72">
        <f>ROUND(SUM(G375)+(G376),2)</f>
        <v>22166.67</v>
      </c>
    </row>
    <row r="379" spans="1:8" ht="17.2" customHeight="1" x14ac:dyDescent="0.3">
      <c r="A379" s="61" t="s">
        <v>55</v>
      </c>
      <c r="B379" s="525" t="s">
        <v>56</v>
      </c>
      <c r="C379" s="526"/>
      <c r="D379" s="526"/>
      <c r="E379" s="526"/>
      <c r="F379" s="526"/>
      <c r="G379" s="527"/>
      <c r="H379" s="73"/>
    </row>
    <row r="380" spans="1:8" ht="17.2" customHeight="1" x14ac:dyDescent="0.3">
      <c r="A380" s="63"/>
      <c r="B380" s="63" t="s">
        <v>34</v>
      </c>
      <c r="C380" s="62" t="s">
        <v>43</v>
      </c>
      <c r="D380" s="62" t="s">
        <v>57</v>
      </c>
      <c r="E380" s="62" t="s">
        <v>58</v>
      </c>
      <c r="F380" s="62"/>
      <c r="G380" s="64" t="s">
        <v>59</v>
      </c>
      <c r="H380" s="73"/>
    </row>
    <row r="381" spans="1:8" ht="17.2" customHeight="1" x14ac:dyDescent="0.3">
      <c r="A381" s="63"/>
      <c r="B381" s="63" t="s">
        <v>82</v>
      </c>
      <c r="C381" s="80" t="s">
        <v>83</v>
      </c>
      <c r="D381" s="63">
        <v>0.05</v>
      </c>
      <c r="E381" s="64">
        <f>3000000/15</f>
        <v>200000</v>
      </c>
      <c r="F381" s="64"/>
      <c r="G381" s="64">
        <f>D381*E381</f>
        <v>10000</v>
      </c>
      <c r="H381" s="73"/>
    </row>
    <row r="382" spans="1:8" ht="17.2" customHeight="1" x14ac:dyDescent="0.3">
      <c r="A382" s="63"/>
      <c r="B382" s="63"/>
      <c r="C382" s="81"/>
      <c r="D382" s="63"/>
      <c r="E382" s="64"/>
      <c r="F382" s="64"/>
      <c r="G382" s="64"/>
      <c r="H382" s="73"/>
    </row>
    <row r="383" spans="1:8" ht="17.2" customHeight="1" x14ac:dyDescent="0.3">
      <c r="A383" s="63"/>
      <c r="B383" s="63"/>
      <c r="C383" s="63"/>
      <c r="D383" s="63"/>
      <c r="E383" s="64"/>
      <c r="F383" s="64"/>
      <c r="G383" s="64"/>
      <c r="H383" s="73"/>
    </row>
    <row r="384" spans="1:8" ht="17.2" customHeight="1" x14ac:dyDescent="0.3">
      <c r="A384" s="70"/>
      <c r="E384" s="71" t="s">
        <v>54</v>
      </c>
      <c r="F384" s="71"/>
      <c r="G384" s="71"/>
      <c r="H384" s="119">
        <f>ROUND(SUM(G381)+(G382),0)</f>
        <v>10000</v>
      </c>
    </row>
    <row r="385" spans="1:8" ht="17.2" customHeight="1" x14ac:dyDescent="0.3">
      <c r="A385" s="59"/>
      <c r="E385" s="71"/>
      <c r="F385" s="71"/>
      <c r="G385" s="71"/>
      <c r="H385" s="73"/>
    </row>
    <row r="386" spans="1:8" ht="17.2" customHeight="1" x14ac:dyDescent="0.3">
      <c r="A386" s="59"/>
      <c r="D386" s="82" t="s">
        <v>60</v>
      </c>
      <c r="E386" s="83"/>
      <c r="F386" s="83"/>
      <c r="G386" s="83"/>
      <c r="H386" s="72">
        <f>ROUND(SUM(H367:H385),2)</f>
        <v>34383.339999999997</v>
      </c>
    </row>
    <row r="387" spans="1:8" ht="17.2" customHeight="1" x14ac:dyDescent="0.3">
      <c r="A387" s="59"/>
      <c r="E387" s="71"/>
      <c r="F387" s="71"/>
      <c r="G387" s="71"/>
      <c r="H387" s="73"/>
    </row>
    <row r="388" spans="1:8" ht="17.2" customHeight="1" x14ac:dyDescent="0.3">
      <c r="A388" s="61" t="s">
        <v>61</v>
      </c>
      <c r="B388" s="525" t="s">
        <v>62</v>
      </c>
      <c r="C388" s="526"/>
      <c r="D388" s="526"/>
      <c r="E388" s="526"/>
      <c r="F388" s="526"/>
      <c r="G388" s="527"/>
      <c r="H388" s="73"/>
    </row>
    <row r="389" spans="1:8" ht="17.2" customHeight="1" x14ac:dyDescent="0.3">
      <c r="A389" s="62"/>
      <c r="B389" s="518" t="s">
        <v>34</v>
      </c>
      <c r="C389" s="519"/>
      <c r="D389" s="518" t="s">
        <v>63</v>
      </c>
      <c r="E389" s="519"/>
      <c r="F389" s="528" t="s">
        <v>64</v>
      </c>
      <c r="G389" s="529"/>
      <c r="H389" s="73"/>
    </row>
    <row r="390" spans="1:8" ht="17.2" customHeight="1" x14ac:dyDescent="0.3">
      <c r="A390" s="63"/>
      <c r="B390" s="518" t="s">
        <v>20</v>
      </c>
      <c r="C390" s="519"/>
      <c r="D390" s="520">
        <v>0.28000000000000003</v>
      </c>
      <c r="E390" s="519"/>
      <c r="F390" s="521">
        <f>+H386*D390</f>
        <v>9627.3351999999995</v>
      </c>
      <c r="G390" s="522"/>
      <c r="H390" s="73"/>
    </row>
    <row r="391" spans="1:8" ht="17.2" customHeight="1" x14ac:dyDescent="0.3">
      <c r="A391" s="63"/>
      <c r="B391" s="518" t="s">
        <v>21</v>
      </c>
      <c r="C391" s="519"/>
      <c r="D391" s="520">
        <v>0.01</v>
      </c>
      <c r="E391" s="519"/>
      <c r="F391" s="521">
        <f>+H386*D391</f>
        <v>343.83339999999998</v>
      </c>
      <c r="G391" s="522"/>
      <c r="H391" s="73"/>
    </row>
    <row r="392" spans="1:8" ht="17.2" customHeight="1" x14ac:dyDescent="0.3">
      <c r="A392" s="63"/>
      <c r="B392" s="518" t="s">
        <v>22</v>
      </c>
      <c r="C392" s="519"/>
      <c r="D392" s="520">
        <v>0.03</v>
      </c>
      <c r="E392" s="519"/>
      <c r="F392" s="521">
        <f>+H386*D392</f>
        <v>1031.5001999999999</v>
      </c>
      <c r="G392" s="522"/>
      <c r="H392" s="73"/>
    </row>
    <row r="393" spans="1:8" ht="17.2" customHeight="1" x14ac:dyDescent="0.3">
      <c r="A393" s="63"/>
      <c r="B393" s="518" t="s">
        <v>188</v>
      </c>
      <c r="C393" s="519"/>
      <c r="D393" s="520">
        <v>0.19</v>
      </c>
      <c r="E393" s="519"/>
      <c r="F393" s="521">
        <f>D393*F392</f>
        <v>195.985038</v>
      </c>
      <c r="G393" s="522"/>
      <c r="H393" s="73"/>
    </row>
    <row r="394" spans="1:8" ht="17.2" customHeight="1" x14ac:dyDescent="0.3">
      <c r="A394" s="59"/>
      <c r="D394" s="82" t="s">
        <v>65</v>
      </c>
      <c r="E394" s="83"/>
      <c r="F394" s="83"/>
      <c r="G394" s="83"/>
      <c r="H394" s="72">
        <f>SUM(F390:G393)</f>
        <v>11198.653838</v>
      </c>
    </row>
    <row r="395" spans="1:8" ht="17.2" customHeight="1" x14ac:dyDescent="0.3">
      <c r="A395" s="59"/>
      <c r="E395" s="71"/>
      <c r="F395" s="71"/>
      <c r="G395" s="71"/>
      <c r="H395" s="73"/>
    </row>
    <row r="396" spans="1:8" ht="17.2" customHeight="1" x14ac:dyDescent="0.3">
      <c r="A396" s="59"/>
      <c r="D396" s="82" t="s">
        <v>66</v>
      </c>
      <c r="E396" s="83"/>
      <c r="F396" s="83"/>
      <c r="G396" s="71"/>
      <c r="H396" s="72">
        <f>H386+H394</f>
        <v>45581.993837999995</v>
      </c>
    </row>
    <row r="397" spans="1:8" ht="17.2" customHeight="1" x14ac:dyDescent="0.3">
      <c r="A397" s="59"/>
      <c r="D397" s="82"/>
      <c r="E397" s="83"/>
      <c r="F397" s="83"/>
      <c r="G397" s="71"/>
      <c r="H397" s="73"/>
    </row>
    <row r="398" spans="1:8" ht="17.2" customHeight="1" x14ac:dyDescent="0.3">
      <c r="A398" s="59"/>
      <c r="E398" s="83"/>
      <c r="F398" s="83"/>
      <c r="G398" s="71"/>
      <c r="H398" s="73"/>
    </row>
    <row r="399" spans="1:8" ht="17.2" customHeight="1" x14ac:dyDescent="0.3">
      <c r="A399" s="84"/>
      <c r="B399" s="85"/>
      <c r="E399" s="46"/>
      <c r="F399" s="47"/>
      <c r="G399" s="48"/>
      <c r="H399" s="73"/>
    </row>
    <row r="400" spans="1:8" ht="17.2" customHeight="1" x14ac:dyDescent="0.3">
      <c r="A400" s="86" t="s">
        <v>67</v>
      </c>
      <c r="B400" s="50" t="s">
        <v>68</v>
      </c>
      <c r="E400" s="49" t="s">
        <v>27</v>
      </c>
      <c r="F400" s="50"/>
      <c r="G400" s="50"/>
      <c r="H400" s="87"/>
    </row>
    <row r="401" spans="1:8" ht="17.2" customHeight="1" x14ac:dyDescent="0.3">
      <c r="A401" s="88" t="s">
        <v>28</v>
      </c>
      <c r="B401" s="50"/>
      <c r="E401" s="50" t="str">
        <f ca="1">+$E$52</f>
        <v>SECRETARIO DE PLANEACION Y OBRAS PUBLICAS</v>
      </c>
      <c r="F401" s="50"/>
      <c r="G401" s="50"/>
      <c r="H401" s="87"/>
    </row>
    <row r="402" spans="1:8" ht="18.2" customHeight="1" x14ac:dyDescent="0.3">
      <c r="A402" s="88"/>
      <c r="B402" s="50"/>
      <c r="E402" s="50" t="str">
        <f ca="1">+$E$53</f>
        <v>SAN MIGUEL - PUTUMAYO</v>
      </c>
      <c r="F402" s="50"/>
      <c r="G402" s="50"/>
      <c r="H402" s="87"/>
    </row>
    <row r="403" spans="1:8" ht="17.2" customHeight="1" x14ac:dyDescent="0.3">
      <c r="A403" s="88"/>
      <c r="B403" s="50"/>
      <c r="D403" s="85"/>
      <c r="E403" s="90"/>
      <c r="F403" s="90"/>
      <c r="G403" s="50"/>
      <c r="H403" s="87"/>
    </row>
    <row r="404" spans="1:8" ht="17.2" customHeight="1" x14ac:dyDescent="0.3">
      <c r="A404" s="556"/>
      <c r="B404" s="557"/>
      <c r="C404" s="380" t="s">
        <v>2</v>
      </c>
      <c r="D404" s="382" t="s">
        <v>3</v>
      </c>
      <c r="E404" s="383"/>
      <c r="F404" s="1">
        <v>103</v>
      </c>
      <c r="G404" s="548"/>
      <c r="H404" s="549"/>
    </row>
    <row r="405" spans="1:8" ht="17.2" customHeight="1" x14ac:dyDescent="0.3">
      <c r="A405" s="558"/>
      <c r="B405" s="559"/>
      <c r="C405" s="381"/>
      <c r="D405" s="396" t="s">
        <v>4</v>
      </c>
      <c r="E405" s="397"/>
      <c r="F405" s="400">
        <v>51</v>
      </c>
      <c r="G405" s="550"/>
      <c r="H405" s="551"/>
    </row>
    <row r="406" spans="1:8" ht="17.2" customHeight="1" x14ac:dyDescent="0.3">
      <c r="A406" s="558"/>
      <c r="B406" s="559"/>
      <c r="C406" s="5" t="s">
        <v>5</v>
      </c>
      <c r="D406" s="398"/>
      <c r="E406" s="399"/>
      <c r="F406" s="401"/>
      <c r="G406" s="550"/>
      <c r="H406" s="551"/>
    </row>
    <row r="407" spans="1:8" ht="26.85" customHeight="1" x14ac:dyDescent="0.3">
      <c r="A407" s="558"/>
      <c r="B407" s="559"/>
      <c r="C407" s="55" t="s">
        <v>6</v>
      </c>
      <c r="D407" s="402" t="s">
        <v>7</v>
      </c>
      <c r="E407" s="403"/>
      <c r="F407" s="7">
        <v>1</v>
      </c>
      <c r="G407" s="550"/>
      <c r="H407" s="551"/>
    </row>
    <row r="408" spans="1:8" ht="17.2" customHeight="1" x14ac:dyDescent="0.3">
      <c r="A408" s="558"/>
      <c r="B408" s="559"/>
      <c r="C408" s="530" t="s">
        <v>8</v>
      </c>
      <c r="D408" s="532" t="s">
        <v>9</v>
      </c>
      <c r="E408" s="533"/>
      <c r="F408" s="5" t="s">
        <v>10</v>
      </c>
      <c r="G408" s="550"/>
      <c r="H408" s="551"/>
    </row>
    <row r="409" spans="1:8" ht="17.2" customHeight="1" x14ac:dyDescent="0.3">
      <c r="A409" s="560"/>
      <c r="B409" s="561"/>
      <c r="C409" s="531"/>
      <c r="D409" s="534"/>
      <c r="E409" s="535"/>
      <c r="F409" s="8">
        <f>$F$6</f>
        <v>45402</v>
      </c>
      <c r="G409" s="552"/>
      <c r="H409" s="553"/>
    </row>
    <row r="410" spans="1:8" ht="17.2" customHeight="1" thickBot="1" x14ac:dyDescent="0.35">
      <c r="A410" s="536"/>
      <c r="B410" s="537"/>
      <c r="C410" s="537"/>
      <c r="D410" s="537"/>
      <c r="E410" s="537"/>
      <c r="F410" s="537"/>
      <c r="G410" s="537"/>
      <c r="H410" s="538"/>
    </row>
    <row r="411" spans="1:8" ht="28.15" customHeight="1" thickBot="1" x14ac:dyDescent="0.35">
      <c r="A411" s="92">
        <v>2.1</v>
      </c>
      <c r="B411" s="539" t="str">
        <f>VLOOKUP(A411,PRESUPUESTO!$A$14:$G$71,2,)</f>
        <v>Excavacion Manual Localizada (incluye retiro)</v>
      </c>
      <c r="C411" s="540"/>
      <c r="D411" s="540"/>
      <c r="E411" s="540"/>
      <c r="F411" s="541"/>
      <c r="G411" s="57" t="s">
        <v>31</v>
      </c>
      <c r="H411" s="58" t="str">
        <f>VLOOKUP(A411,PRESUPUESTO!$A$14:$G$71,4,)</f>
        <v>M3</v>
      </c>
    </row>
    <row r="412" spans="1:8" ht="17.2" customHeight="1" x14ac:dyDescent="0.3">
      <c r="A412" s="59"/>
      <c r="H412" s="60"/>
    </row>
    <row r="413" spans="1:8" ht="17.2" customHeight="1" x14ac:dyDescent="0.3">
      <c r="A413" s="61" t="s">
        <v>32</v>
      </c>
      <c r="B413" s="525" t="s">
        <v>33</v>
      </c>
      <c r="C413" s="526"/>
      <c r="D413" s="526"/>
      <c r="E413" s="526"/>
      <c r="F413" s="526"/>
      <c r="G413" s="527"/>
      <c r="H413" s="60"/>
    </row>
    <row r="414" spans="1:8" ht="17.2" customHeight="1" x14ac:dyDescent="0.3">
      <c r="A414" s="62"/>
      <c r="B414" s="518" t="s">
        <v>34</v>
      </c>
      <c r="C414" s="519"/>
      <c r="D414" s="62" t="s">
        <v>35</v>
      </c>
      <c r="E414" s="62" t="s">
        <v>69</v>
      </c>
      <c r="F414" s="62" t="s">
        <v>70</v>
      </c>
      <c r="G414" s="62" t="s">
        <v>38</v>
      </c>
      <c r="H414" s="60"/>
    </row>
    <row r="415" spans="1:8" ht="17.2" customHeight="1" x14ac:dyDescent="0.3">
      <c r="A415" s="63"/>
      <c r="B415" s="542" t="s">
        <v>39</v>
      </c>
      <c r="C415" s="543"/>
      <c r="D415" s="63"/>
      <c r="E415" s="64"/>
      <c r="F415" s="64">
        <v>0.1</v>
      </c>
      <c r="G415" s="65">
        <f>ROUND(H430*F415,2)</f>
        <v>4550</v>
      </c>
      <c r="H415" s="66"/>
    </row>
    <row r="416" spans="1:8" ht="17.2" customHeight="1" x14ac:dyDescent="0.3">
      <c r="A416" s="63"/>
      <c r="B416" s="542"/>
      <c r="C416" s="543"/>
      <c r="D416" s="62"/>
      <c r="E416" s="68"/>
      <c r="F416" s="64"/>
      <c r="G416" s="69"/>
      <c r="H416" s="66"/>
    </row>
    <row r="417" spans="1:8" ht="17.2" customHeight="1" x14ac:dyDescent="0.3">
      <c r="A417" s="70"/>
      <c r="E417" s="71" t="s">
        <v>40</v>
      </c>
      <c r="F417" s="71"/>
      <c r="G417" s="71"/>
      <c r="H417" s="72">
        <f>ROUND(SUM(G415:G416),2)</f>
        <v>4550</v>
      </c>
    </row>
    <row r="418" spans="1:8" ht="17.2" customHeight="1" x14ac:dyDescent="0.3">
      <c r="A418" s="61" t="s">
        <v>41</v>
      </c>
      <c r="B418" s="525" t="s">
        <v>42</v>
      </c>
      <c r="C418" s="526"/>
      <c r="D418" s="526"/>
      <c r="E418" s="526"/>
      <c r="F418" s="526"/>
      <c r="G418" s="527"/>
      <c r="H418" s="73"/>
    </row>
    <row r="419" spans="1:8" ht="17.2" customHeight="1" x14ac:dyDescent="0.3">
      <c r="A419" s="62"/>
      <c r="B419" s="518" t="s">
        <v>34</v>
      </c>
      <c r="C419" s="519"/>
      <c r="D419" s="63" t="s">
        <v>43</v>
      </c>
      <c r="E419" s="74" t="s">
        <v>44</v>
      </c>
      <c r="F419" s="74" t="s">
        <v>45</v>
      </c>
      <c r="G419" s="74" t="s">
        <v>38</v>
      </c>
      <c r="H419" s="73"/>
    </row>
    <row r="420" spans="1:8" ht="15.05" x14ac:dyDescent="0.3">
      <c r="A420" s="63"/>
      <c r="B420" s="554"/>
      <c r="C420" s="555"/>
      <c r="D420" s="93"/>
      <c r="E420" s="94"/>
      <c r="F420" s="95"/>
      <c r="G420" s="120"/>
      <c r="H420" s="73"/>
    </row>
    <row r="421" spans="1:8" ht="17.2" customHeight="1" x14ac:dyDescent="0.3">
      <c r="A421" s="63"/>
      <c r="B421" s="523"/>
      <c r="C421" s="524"/>
      <c r="D421" s="93"/>
      <c r="E421" s="94"/>
      <c r="F421" s="95"/>
      <c r="G421" s="67"/>
      <c r="H421" s="73"/>
    </row>
    <row r="422" spans="1:8" ht="17.2" customHeight="1" x14ac:dyDescent="0.3">
      <c r="A422" s="63"/>
      <c r="B422" s="523"/>
      <c r="C422" s="524"/>
      <c r="D422" s="93"/>
      <c r="E422" s="94"/>
      <c r="F422" s="95"/>
      <c r="G422" s="67"/>
      <c r="H422" s="73"/>
    </row>
    <row r="423" spans="1:8" ht="17.2" customHeight="1" x14ac:dyDescent="0.3">
      <c r="A423" s="63"/>
      <c r="B423" s="523"/>
      <c r="C423" s="524"/>
      <c r="D423" s="93"/>
      <c r="E423" s="94"/>
      <c r="F423" s="95"/>
      <c r="G423" s="67"/>
      <c r="H423" s="73"/>
    </row>
    <row r="424" spans="1:8" ht="17.2" customHeight="1" x14ac:dyDescent="0.3">
      <c r="A424" s="70" t="s">
        <v>46</v>
      </c>
      <c r="E424" s="71" t="s">
        <v>47</v>
      </c>
      <c r="F424" s="71"/>
      <c r="G424" s="71"/>
      <c r="H424" s="76">
        <f>ROUND(SUM(G420:G423),2)</f>
        <v>0</v>
      </c>
    </row>
    <row r="425" spans="1:8" ht="17.2" customHeight="1" x14ac:dyDescent="0.3">
      <c r="A425" s="61" t="s">
        <v>48</v>
      </c>
      <c r="B425" s="525" t="s">
        <v>49</v>
      </c>
      <c r="C425" s="526"/>
      <c r="D425" s="526"/>
      <c r="E425" s="526"/>
      <c r="F425" s="526"/>
      <c r="G425" s="527"/>
      <c r="H425" s="73"/>
    </row>
    <row r="426" spans="1:8" ht="17.2" customHeight="1" x14ac:dyDescent="0.3">
      <c r="A426" s="62" t="s">
        <v>50</v>
      </c>
      <c r="B426" s="62" t="s">
        <v>34</v>
      </c>
      <c r="C426" s="62" t="s">
        <v>51</v>
      </c>
      <c r="D426" s="62" t="s">
        <v>52</v>
      </c>
      <c r="E426" s="74" t="s">
        <v>53</v>
      </c>
      <c r="F426" s="64" t="s">
        <v>179</v>
      </c>
      <c r="G426" s="64" t="s">
        <v>38</v>
      </c>
      <c r="H426" s="73"/>
    </row>
    <row r="427" spans="1:8" ht="17.2" customHeight="1" x14ac:dyDescent="0.3">
      <c r="A427" s="62">
        <v>1</v>
      </c>
      <c r="B427" s="63" t="s">
        <v>79</v>
      </c>
      <c r="C427" s="77">
        <v>120000</v>
      </c>
      <c r="D427" s="78">
        <v>0.75</v>
      </c>
      <c r="E427" s="79">
        <f>+(A427*C427)+(A427*C427*D427)</f>
        <v>210000</v>
      </c>
      <c r="F427" s="75">
        <v>10</v>
      </c>
      <c r="G427" s="65">
        <f>ROUND(E427/(F427),2)</f>
        <v>21000</v>
      </c>
      <c r="H427" s="73"/>
    </row>
    <row r="428" spans="1:8" ht="17.2" customHeight="1" x14ac:dyDescent="0.3">
      <c r="A428" s="62">
        <v>2</v>
      </c>
      <c r="B428" s="63" t="s">
        <v>80</v>
      </c>
      <c r="C428" s="77">
        <v>70000</v>
      </c>
      <c r="D428" s="78">
        <v>0.75</v>
      </c>
      <c r="E428" s="79">
        <f>+(A428*C428)+(A428*C428*D428)</f>
        <v>245000</v>
      </c>
      <c r="F428" s="75">
        <v>10</v>
      </c>
      <c r="G428" s="65">
        <f>ROUND(E428/(F428),2)</f>
        <v>24500</v>
      </c>
      <c r="H428" s="73"/>
    </row>
    <row r="429" spans="1:8" ht="17.2" customHeight="1" x14ac:dyDescent="0.3">
      <c r="A429" s="63"/>
      <c r="B429" s="63"/>
      <c r="C429" s="63"/>
      <c r="D429" s="63"/>
      <c r="E429" s="64"/>
      <c r="F429" s="64"/>
      <c r="G429" s="64"/>
      <c r="H429" s="73"/>
    </row>
    <row r="430" spans="1:8" ht="17.2" customHeight="1" x14ac:dyDescent="0.3">
      <c r="A430" s="70"/>
      <c r="E430" s="71" t="s">
        <v>54</v>
      </c>
      <c r="F430" s="71"/>
      <c r="G430" s="71"/>
      <c r="H430" s="72">
        <f>ROUND(SUM(G427)+(G428),2)</f>
        <v>45500</v>
      </c>
    </row>
    <row r="431" spans="1:8" ht="17.2" customHeight="1" x14ac:dyDescent="0.3">
      <c r="A431" s="61" t="s">
        <v>55</v>
      </c>
      <c r="B431" s="525" t="s">
        <v>56</v>
      </c>
      <c r="C431" s="526"/>
      <c r="D431" s="526"/>
      <c r="E431" s="526"/>
      <c r="F431" s="526"/>
      <c r="G431" s="527"/>
      <c r="H431" s="73"/>
    </row>
    <row r="432" spans="1:8" ht="17.2" customHeight="1" x14ac:dyDescent="0.3">
      <c r="A432" s="63"/>
      <c r="B432" s="63" t="s">
        <v>34</v>
      </c>
      <c r="C432" s="62" t="s">
        <v>43</v>
      </c>
      <c r="D432" s="62" t="s">
        <v>57</v>
      </c>
      <c r="E432" s="62" t="s">
        <v>58</v>
      </c>
      <c r="F432" s="62"/>
      <c r="G432" s="64" t="s">
        <v>59</v>
      </c>
      <c r="H432" s="73"/>
    </row>
    <row r="433" spans="1:8" ht="17.2" customHeight="1" x14ac:dyDescent="0.3">
      <c r="A433" s="63"/>
      <c r="B433" s="63" t="s">
        <v>82</v>
      </c>
      <c r="C433" s="80" t="s">
        <v>83</v>
      </c>
      <c r="D433" s="63">
        <v>0.05</v>
      </c>
      <c r="E433" s="64">
        <f>3000000/15</f>
        <v>200000</v>
      </c>
      <c r="F433" s="64"/>
      <c r="G433" s="64">
        <f>D433*E433</f>
        <v>10000</v>
      </c>
      <c r="H433" s="73"/>
    </row>
    <row r="434" spans="1:8" ht="17.2" customHeight="1" x14ac:dyDescent="0.3">
      <c r="A434" s="63"/>
      <c r="B434" s="63"/>
      <c r="C434" s="81"/>
      <c r="D434" s="63"/>
      <c r="E434" s="64"/>
      <c r="F434" s="64"/>
      <c r="G434" s="64"/>
      <c r="H434" s="73"/>
    </row>
    <row r="435" spans="1:8" ht="17.2" customHeight="1" x14ac:dyDescent="0.3">
      <c r="A435" s="63"/>
      <c r="B435" s="63"/>
      <c r="C435" s="63"/>
      <c r="D435" s="63"/>
      <c r="E435" s="64"/>
      <c r="F435" s="64"/>
      <c r="G435" s="64"/>
      <c r="H435" s="73"/>
    </row>
    <row r="436" spans="1:8" ht="17.2" customHeight="1" x14ac:dyDescent="0.3">
      <c r="A436" s="70"/>
      <c r="E436" s="71" t="s">
        <v>54</v>
      </c>
      <c r="F436" s="71"/>
      <c r="G436" s="71"/>
      <c r="H436" s="119">
        <f>ROUND(SUM(G433)+(G434),0)</f>
        <v>10000</v>
      </c>
    </row>
    <row r="437" spans="1:8" ht="17.2" customHeight="1" x14ac:dyDescent="0.3">
      <c r="A437" s="59"/>
      <c r="E437" s="71"/>
      <c r="F437" s="71"/>
      <c r="G437" s="71"/>
      <c r="H437" s="73"/>
    </row>
    <row r="438" spans="1:8" ht="17.2" customHeight="1" x14ac:dyDescent="0.3">
      <c r="A438" s="59"/>
      <c r="D438" s="82" t="s">
        <v>60</v>
      </c>
      <c r="E438" s="83"/>
      <c r="F438" s="83"/>
      <c r="G438" s="83"/>
      <c r="H438" s="72">
        <f>ROUND(SUM(H417:H437),2)</f>
        <v>60050</v>
      </c>
    </row>
    <row r="439" spans="1:8" ht="17.2" customHeight="1" x14ac:dyDescent="0.3">
      <c r="A439" s="59"/>
      <c r="E439" s="71"/>
      <c r="F439" s="71"/>
      <c r="G439" s="71"/>
      <c r="H439" s="73"/>
    </row>
    <row r="440" spans="1:8" ht="17.2" customHeight="1" x14ac:dyDescent="0.3">
      <c r="A440" s="61" t="s">
        <v>61</v>
      </c>
      <c r="B440" s="525" t="s">
        <v>62</v>
      </c>
      <c r="C440" s="526"/>
      <c r="D440" s="526"/>
      <c r="E440" s="526"/>
      <c r="F440" s="526"/>
      <c r="G440" s="527"/>
      <c r="H440" s="73"/>
    </row>
    <row r="441" spans="1:8" ht="17.2" customHeight="1" x14ac:dyDescent="0.3">
      <c r="A441" s="62"/>
      <c r="B441" s="518" t="s">
        <v>34</v>
      </c>
      <c r="C441" s="519"/>
      <c r="D441" s="518" t="s">
        <v>63</v>
      </c>
      <c r="E441" s="519"/>
      <c r="F441" s="528" t="s">
        <v>64</v>
      </c>
      <c r="G441" s="529"/>
      <c r="H441" s="73"/>
    </row>
    <row r="442" spans="1:8" ht="17.2" customHeight="1" x14ac:dyDescent="0.3">
      <c r="A442" s="63"/>
      <c r="B442" s="518" t="s">
        <v>20</v>
      </c>
      <c r="C442" s="519"/>
      <c r="D442" s="520">
        <v>0.28000000000000003</v>
      </c>
      <c r="E442" s="519"/>
      <c r="F442" s="521">
        <f>+H438*D442</f>
        <v>16814</v>
      </c>
      <c r="G442" s="522"/>
      <c r="H442" s="73"/>
    </row>
    <row r="443" spans="1:8" ht="17.2" customHeight="1" x14ac:dyDescent="0.3">
      <c r="A443" s="63"/>
      <c r="B443" s="518" t="s">
        <v>21</v>
      </c>
      <c r="C443" s="519"/>
      <c r="D443" s="520">
        <v>0.01</v>
      </c>
      <c r="E443" s="519"/>
      <c r="F443" s="521">
        <f>+H438*D443</f>
        <v>600.5</v>
      </c>
      <c r="G443" s="522"/>
      <c r="H443" s="73"/>
    </row>
    <row r="444" spans="1:8" ht="17.2" customHeight="1" x14ac:dyDescent="0.3">
      <c r="A444" s="63"/>
      <c r="B444" s="518" t="s">
        <v>22</v>
      </c>
      <c r="C444" s="519"/>
      <c r="D444" s="520">
        <v>0.03</v>
      </c>
      <c r="E444" s="519"/>
      <c r="F444" s="521">
        <f>+H438*D444</f>
        <v>1801.5</v>
      </c>
      <c r="G444" s="522"/>
      <c r="H444" s="73"/>
    </row>
    <row r="445" spans="1:8" ht="17.2" customHeight="1" x14ac:dyDescent="0.3">
      <c r="A445" s="63"/>
      <c r="B445" s="518" t="s">
        <v>188</v>
      </c>
      <c r="C445" s="519"/>
      <c r="D445" s="520">
        <v>0.19</v>
      </c>
      <c r="E445" s="519"/>
      <c r="F445" s="521">
        <f>D445*F444</f>
        <v>342.28500000000003</v>
      </c>
      <c r="G445" s="522"/>
      <c r="H445" s="73"/>
    </row>
    <row r="446" spans="1:8" ht="17.2" customHeight="1" x14ac:dyDescent="0.3">
      <c r="A446" s="59"/>
      <c r="D446" s="82" t="s">
        <v>65</v>
      </c>
      <c r="E446" s="83"/>
      <c r="F446" s="83"/>
      <c r="G446" s="83"/>
      <c r="H446" s="72">
        <f>SUM(F442:G445)</f>
        <v>19558.285</v>
      </c>
    </row>
    <row r="447" spans="1:8" ht="17.2" customHeight="1" x14ac:dyDescent="0.3">
      <c r="A447" s="59"/>
      <c r="E447" s="71"/>
      <c r="F447" s="71"/>
      <c r="G447" s="71"/>
      <c r="H447" s="73"/>
    </row>
    <row r="448" spans="1:8" ht="17.2" customHeight="1" x14ac:dyDescent="0.3">
      <c r="A448" s="59"/>
      <c r="D448" s="82" t="s">
        <v>66</v>
      </c>
      <c r="E448" s="83"/>
      <c r="F448" s="83"/>
      <c r="G448" s="71"/>
      <c r="H448" s="72">
        <f>H438+H446</f>
        <v>79608.285000000003</v>
      </c>
    </row>
    <row r="449" spans="1:8" ht="17.2" customHeight="1" x14ac:dyDescent="0.3">
      <c r="A449" s="59"/>
      <c r="D449" s="82"/>
      <c r="E449" s="83"/>
      <c r="F449" s="83"/>
      <c r="G449" s="71"/>
      <c r="H449" s="73"/>
    </row>
    <row r="450" spans="1:8" ht="17.2" customHeight="1" x14ac:dyDescent="0.3">
      <c r="A450" s="59"/>
      <c r="E450" s="83"/>
      <c r="F450" s="83"/>
      <c r="G450" s="71"/>
      <c r="H450" s="73"/>
    </row>
    <row r="451" spans="1:8" ht="17.2" customHeight="1" x14ac:dyDescent="0.3">
      <c r="A451" s="84"/>
      <c r="B451" s="85"/>
      <c r="E451" s="46"/>
      <c r="F451" s="47"/>
      <c r="G451" s="48"/>
      <c r="H451" s="73"/>
    </row>
    <row r="452" spans="1:8" ht="17.2" customHeight="1" x14ac:dyDescent="0.3">
      <c r="A452" s="86" t="s">
        <v>67</v>
      </c>
      <c r="B452" s="50" t="s">
        <v>68</v>
      </c>
      <c r="E452" s="49" t="s">
        <v>27</v>
      </c>
      <c r="F452" s="50"/>
      <c r="G452" s="50"/>
      <c r="H452" s="87"/>
    </row>
    <row r="453" spans="1:8" ht="17.2" customHeight="1" x14ac:dyDescent="0.3">
      <c r="A453" s="88" t="s">
        <v>28</v>
      </c>
      <c r="B453" s="50"/>
      <c r="E453" s="50" t="str">
        <f ca="1">+$E$52</f>
        <v>SECRETARIO DE PLANEACION Y OBRAS PUBLICAS</v>
      </c>
      <c r="F453" s="50"/>
      <c r="G453" s="50"/>
      <c r="H453" s="87"/>
    </row>
    <row r="454" spans="1:8" ht="18.2" customHeight="1" x14ac:dyDescent="0.3">
      <c r="A454" s="89"/>
      <c r="B454" s="90"/>
      <c r="C454" s="85"/>
      <c r="D454" s="85"/>
      <c r="E454" s="90" t="str">
        <f ca="1">+$E$53</f>
        <v>SAN MIGUEL - PUTUMAYO</v>
      </c>
      <c r="F454" s="90"/>
      <c r="G454" s="90"/>
      <c r="H454" s="91"/>
    </row>
    <row r="455" spans="1:8" ht="17.2" customHeight="1" x14ac:dyDescent="0.3">
      <c r="A455" s="556"/>
      <c r="B455" s="557"/>
      <c r="C455" s="380" t="s">
        <v>2</v>
      </c>
      <c r="D455" s="382" t="s">
        <v>3</v>
      </c>
      <c r="E455" s="383"/>
      <c r="F455" s="1">
        <v>103</v>
      </c>
      <c r="G455" s="548"/>
      <c r="H455" s="549"/>
    </row>
    <row r="456" spans="1:8" ht="17.2" customHeight="1" x14ac:dyDescent="0.3">
      <c r="A456" s="558"/>
      <c r="B456" s="559"/>
      <c r="C456" s="381"/>
      <c r="D456" s="396" t="s">
        <v>4</v>
      </c>
      <c r="E456" s="397"/>
      <c r="F456" s="400">
        <v>51</v>
      </c>
      <c r="G456" s="550"/>
      <c r="H456" s="551"/>
    </row>
    <row r="457" spans="1:8" ht="17.2" customHeight="1" x14ac:dyDescent="0.3">
      <c r="A457" s="558"/>
      <c r="B457" s="559"/>
      <c r="C457" s="5" t="s">
        <v>5</v>
      </c>
      <c r="D457" s="398"/>
      <c r="E457" s="399"/>
      <c r="F457" s="401"/>
      <c r="G457" s="550"/>
      <c r="H457" s="551"/>
    </row>
    <row r="458" spans="1:8" ht="26.85" customHeight="1" x14ac:dyDescent="0.3">
      <c r="A458" s="558"/>
      <c r="B458" s="559"/>
      <c r="C458" s="55" t="s">
        <v>6</v>
      </c>
      <c r="D458" s="402" t="s">
        <v>7</v>
      </c>
      <c r="E458" s="403"/>
      <c r="F458" s="7">
        <v>1</v>
      </c>
      <c r="G458" s="550"/>
      <c r="H458" s="551"/>
    </row>
    <row r="459" spans="1:8" ht="17.2" customHeight="1" x14ac:dyDescent="0.3">
      <c r="A459" s="558"/>
      <c r="B459" s="559"/>
      <c r="C459" s="530" t="s">
        <v>8</v>
      </c>
      <c r="D459" s="532" t="s">
        <v>9</v>
      </c>
      <c r="E459" s="533"/>
      <c r="F459" s="5" t="s">
        <v>10</v>
      </c>
      <c r="G459" s="550"/>
      <c r="H459" s="551"/>
    </row>
    <row r="460" spans="1:8" ht="17.2" customHeight="1" x14ac:dyDescent="0.3">
      <c r="A460" s="560"/>
      <c r="B460" s="561"/>
      <c r="C460" s="531"/>
      <c r="D460" s="534"/>
      <c r="E460" s="535"/>
      <c r="F460" s="8">
        <f>$F$6</f>
        <v>45402</v>
      </c>
      <c r="G460" s="552"/>
      <c r="H460" s="553"/>
    </row>
    <row r="461" spans="1:8" ht="17.2" customHeight="1" thickBot="1" x14ac:dyDescent="0.35">
      <c r="A461" s="536"/>
      <c r="B461" s="537"/>
      <c r="C461" s="537"/>
      <c r="D461" s="537"/>
      <c r="E461" s="537"/>
      <c r="F461" s="537"/>
      <c r="G461" s="537"/>
      <c r="H461" s="538"/>
    </row>
    <row r="462" spans="1:8" ht="28.15" customHeight="1" thickBot="1" x14ac:dyDescent="0.35">
      <c r="A462" s="92">
        <v>2.2000000000000002</v>
      </c>
      <c r="B462" s="539" t="str">
        <f>VLOOKUP(A462,PRESUPUESTO!$A$14:$G$71,2,)</f>
        <v xml:space="preserve">Suministro, instalacion y compactacion de material  seleccionado </v>
      </c>
      <c r="C462" s="540"/>
      <c r="D462" s="540"/>
      <c r="E462" s="540"/>
      <c r="F462" s="541"/>
      <c r="G462" s="57" t="s">
        <v>31</v>
      </c>
      <c r="H462" s="58" t="str">
        <f>VLOOKUP(A462,PRESUPUESTO!$A$14:$G$71,4,)</f>
        <v>M3</v>
      </c>
    </row>
    <row r="463" spans="1:8" ht="17.2" customHeight="1" x14ac:dyDescent="0.3">
      <c r="A463" s="59"/>
      <c r="H463" s="60"/>
    </row>
    <row r="464" spans="1:8" ht="17.2" customHeight="1" x14ac:dyDescent="0.3">
      <c r="A464" s="61" t="s">
        <v>32</v>
      </c>
      <c r="B464" s="525" t="s">
        <v>33</v>
      </c>
      <c r="C464" s="526"/>
      <c r="D464" s="526"/>
      <c r="E464" s="526"/>
      <c r="F464" s="526"/>
      <c r="G464" s="527"/>
      <c r="H464" s="60"/>
    </row>
    <row r="465" spans="1:8" ht="17.2" customHeight="1" x14ac:dyDescent="0.3">
      <c r="A465" s="62"/>
      <c r="B465" s="518" t="s">
        <v>34</v>
      </c>
      <c r="C465" s="519"/>
      <c r="D465" s="62" t="s">
        <v>35</v>
      </c>
      <c r="E465" s="62" t="s">
        <v>69</v>
      </c>
      <c r="F465" s="62" t="s">
        <v>70</v>
      </c>
      <c r="G465" s="62" t="s">
        <v>38</v>
      </c>
      <c r="H465" s="60"/>
    </row>
    <row r="466" spans="1:8" ht="17.2" customHeight="1" x14ac:dyDescent="0.3">
      <c r="A466" s="63"/>
      <c r="B466" s="542" t="s">
        <v>39</v>
      </c>
      <c r="C466" s="543"/>
      <c r="D466" s="63"/>
      <c r="E466" s="64"/>
      <c r="F466" s="64">
        <v>0.1</v>
      </c>
      <c r="G466" s="65">
        <f>ROUND(H483*F466,2)</f>
        <v>1330</v>
      </c>
      <c r="H466" s="66"/>
    </row>
    <row r="467" spans="1:8" ht="17.2" customHeight="1" x14ac:dyDescent="0.3">
      <c r="A467" s="63"/>
      <c r="B467" s="542" t="s">
        <v>84</v>
      </c>
      <c r="C467" s="543"/>
      <c r="D467" s="62" t="s">
        <v>81</v>
      </c>
      <c r="E467" s="68">
        <v>100000</v>
      </c>
      <c r="F467" s="64">
        <v>0.02</v>
      </c>
      <c r="G467" s="69">
        <f>E467*F467</f>
        <v>2000</v>
      </c>
      <c r="H467" s="66"/>
    </row>
    <row r="468" spans="1:8" ht="17.2" customHeight="1" x14ac:dyDescent="0.3">
      <c r="A468" s="70"/>
      <c r="E468" s="71" t="s">
        <v>40</v>
      </c>
      <c r="F468" s="71"/>
      <c r="G468" s="71"/>
      <c r="H468" s="72">
        <f>ROUND(SUM(G466:G467),2)</f>
        <v>3330</v>
      </c>
    </row>
    <row r="469" spans="1:8" ht="17.2" customHeight="1" x14ac:dyDescent="0.3">
      <c r="A469" s="61" t="s">
        <v>41</v>
      </c>
      <c r="B469" s="525" t="s">
        <v>42</v>
      </c>
      <c r="C469" s="526"/>
      <c r="D469" s="526"/>
      <c r="E469" s="526"/>
      <c r="F469" s="526"/>
      <c r="G469" s="527"/>
      <c r="H469" s="73"/>
    </row>
    <row r="470" spans="1:8" ht="17.2" customHeight="1" x14ac:dyDescent="0.3">
      <c r="A470" s="62"/>
      <c r="B470" s="518" t="s">
        <v>34</v>
      </c>
      <c r="C470" s="519"/>
      <c r="D470" s="62" t="s">
        <v>43</v>
      </c>
      <c r="E470" s="74" t="s">
        <v>44</v>
      </c>
      <c r="F470" s="74" t="s">
        <v>45</v>
      </c>
      <c r="G470" s="74" t="s">
        <v>38</v>
      </c>
      <c r="H470" s="73"/>
    </row>
    <row r="471" spans="1:8" ht="17.55" customHeight="1" x14ac:dyDescent="0.3">
      <c r="A471" s="63"/>
      <c r="B471" s="578" t="s">
        <v>205</v>
      </c>
      <c r="C471" s="579"/>
      <c r="D471" s="93"/>
      <c r="E471" s="94">
        <v>1.3</v>
      </c>
      <c r="F471" s="95">
        <v>70000</v>
      </c>
      <c r="G471" s="120">
        <f>ROUND(E471*F471,2)</f>
        <v>91000</v>
      </c>
      <c r="H471" s="73"/>
    </row>
    <row r="472" spans="1:8" ht="17.2" customHeight="1" x14ac:dyDescent="0.3">
      <c r="A472" s="63"/>
      <c r="B472" s="523"/>
      <c r="C472" s="524"/>
      <c r="D472" s="93"/>
      <c r="E472" s="94"/>
      <c r="F472" s="95"/>
      <c r="G472" s="67"/>
      <c r="H472" s="73"/>
    </row>
    <row r="473" spans="1:8" ht="17.2" customHeight="1" x14ac:dyDescent="0.3">
      <c r="A473" s="63"/>
      <c r="B473" s="523"/>
      <c r="C473" s="524"/>
      <c r="D473" s="93"/>
      <c r="E473" s="94"/>
      <c r="F473" s="95"/>
      <c r="G473" s="67"/>
      <c r="H473" s="73"/>
    </row>
    <row r="474" spans="1:8" ht="17.2" customHeight="1" x14ac:dyDescent="0.3">
      <c r="A474" s="63"/>
      <c r="B474" s="523"/>
      <c r="C474" s="524"/>
      <c r="D474" s="93"/>
      <c r="E474" s="94"/>
      <c r="F474" s="95"/>
      <c r="G474" s="67"/>
      <c r="H474" s="73"/>
    </row>
    <row r="475" spans="1:8" ht="17.2" customHeight="1" x14ac:dyDescent="0.3">
      <c r="A475" s="63"/>
      <c r="B475" s="523"/>
      <c r="C475" s="524"/>
      <c r="D475" s="93"/>
      <c r="E475" s="94"/>
      <c r="F475" s="95"/>
      <c r="G475" s="67"/>
      <c r="H475" s="73"/>
    </row>
    <row r="476" spans="1:8" ht="17.2" customHeight="1" x14ac:dyDescent="0.3">
      <c r="A476" s="63"/>
      <c r="B476" s="523"/>
      <c r="C476" s="524"/>
      <c r="D476" s="93"/>
      <c r="E476" s="94"/>
      <c r="F476" s="95"/>
      <c r="G476" s="67"/>
      <c r="H476" s="73"/>
    </row>
    <row r="477" spans="1:8" ht="17.2" customHeight="1" x14ac:dyDescent="0.3">
      <c r="A477" s="70" t="s">
        <v>46</v>
      </c>
      <c r="E477" s="71" t="s">
        <v>47</v>
      </c>
      <c r="F477" s="71"/>
      <c r="G477" s="71"/>
      <c r="H477" s="76">
        <f>ROUND(SUM(G471:G476),2)</f>
        <v>91000</v>
      </c>
    </row>
    <row r="478" spans="1:8" ht="17.2" customHeight="1" x14ac:dyDescent="0.3">
      <c r="A478" s="61" t="s">
        <v>48</v>
      </c>
      <c r="B478" s="525" t="s">
        <v>49</v>
      </c>
      <c r="C478" s="526"/>
      <c r="D478" s="526"/>
      <c r="E478" s="526"/>
      <c r="F478" s="526"/>
      <c r="G478" s="527"/>
      <c r="H478" s="73"/>
    </row>
    <row r="479" spans="1:8" ht="17.2" customHeight="1" x14ac:dyDescent="0.3">
      <c r="A479" s="62" t="s">
        <v>50</v>
      </c>
      <c r="B479" s="62" t="s">
        <v>34</v>
      </c>
      <c r="C479" s="62" t="s">
        <v>51</v>
      </c>
      <c r="D479" s="62" t="s">
        <v>52</v>
      </c>
      <c r="E479" s="74" t="s">
        <v>53</v>
      </c>
      <c r="F479" s="64" t="s">
        <v>179</v>
      </c>
      <c r="G479" s="64" t="s">
        <v>38</v>
      </c>
      <c r="H479" s="73"/>
    </row>
    <row r="480" spans="1:8" ht="17.2" customHeight="1" x14ac:dyDescent="0.3">
      <c r="A480" s="62">
        <v>1</v>
      </c>
      <c r="B480" s="63" t="s">
        <v>79</v>
      </c>
      <c r="C480" s="77">
        <v>120000</v>
      </c>
      <c r="D480" s="78">
        <v>0.75</v>
      </c>
      <c r="E480" s="79">
        <f>+(A480*C480)+(A480*C480*D480)</f>
        <v>210000</v>
      </c>
      <c r="F480" s="75">
        <v>25</v>
      </c>
      <c r="G480" s="65">
        <f>ROUND(E480/(F480),2)</f>
        <v>8400</v>
      </c>
      <c r="H480" s="73"/>
    </row>
    <row r="481" spans="1:8" ht="17.2" customHeight="1" x14ac:dyDescent="0.3">
      <c r="A481" s="62">
        <v>1</v>
      </c>
      <c r="B481" s="63" t="s">
        <v>80</v>
      </c>
      <c r="C481" s="77">
        <v>70000</v>
      </c>
      <c r="D481" s="78">
        <v>0.75</v>
      </c>
      <c r="E481" s="79">
        <f>+(A481*C481)+(A481*C481*D481)</f>
        <v>122500</v>
      </c>
      <c r="F481" s="75">
        <v>25</v>
      </c>
      <c r="G481" s="65">
        <f>ROUND(E481/(F481),2)</f>
        <v>4900</v>
      </c>
      <c r="H481" s="73"/>
    </row>
    <row r="482" spans="1:8" ht="17.2" customHeight="1" x14ac:dyDescent="0.3">
      <c r="A482" s="63"/>
      <c r="B482" s="63"/>
      <c r="C482" s="63"/>
      <c r="D482" s="63"/>
      <c r="E482" s="64"/>
      <c r="F482" s="64"/>
      <c r="G482" s="64"/>
      <c r="H482" s="73"/>
    </row>
    <row r="483" spans="1:8" ht="17.2" customHeight="1" x14ac:dyDescent="0.3">
      <c r="A483" s="70"/>
      <c r="E483" s="71" t="s">
        <v>54</v>
      </c>
      <c r="F483" s="71"/>
      <c r="G483" s="71"/>
      <c r="H483" s="72">
        <f>ROUND(SUM(G480)+(G481),2)</f>
        <v>13300</v>
      </c>
    </row>
    <row r="484" spans="1:8" ht="17.2" customHeight="1" x14ac:dyDescent="0.3">
      <c r="A484" s="61" t="s">
        <v>55</v>
      </c>
      <c r="B484" s="525" t="s">
        <v>56</v>
      </c>
      <c r="C484" s="526"/>
      <c r="D484" s="526"/>
      <c r="E484" s="526"/>
      <c r="F484" s="526"/>
      <c r="G484" s="527"/>
      <c r="H484" s="73"/>
    </row>
    <row r="485" spans="1:8" ht="17.2" customHeight="1" x14ac:dyDescent="0.3">
      <c r="A485" s="63"/>
      <c r="B485" s="63" t="s">
        <v>34</v>
      </c>
      <c r="C485" s="62" t="s">
        <v>43</v>
      </c>
      <c r="D485" s="62" t="s">
        <v>57</v>
      </c>
      <c r="E485" s="62" t="s">
        <v>58</v>
      </c>
      <c r="F485" s="62"/>
      <c r="G485" s="64" t="s">
        <v>59</v>
      </c>
      <c r="H485" s="73"/>
    </row>
    <row r="486" spans="1:8" ht="17.2" customHeight="1" x14ac:dyDescent="0.3">
      <c r="A486" s="63"/>
      <c r="B486" s="63" t="s">
        <v>82</v>
      </c>
      <c r="C486" s="80" t="s">
        <v>83</v>
      </c>
      <c r="D486" s="63">
        <v>0.05</v>
      </c>
      <c r="E486" s="64">
        <v>50000</v>
      </c>
      <c r="F486" s="64"/>
      <c r="G486" s="64">
        <f>D486*E486</f>
        <v>2500</v>
      </c>
      <c r="H486" s="73"/>
    </row>
    <row r="487" spans="1:8" ht="17.2" customHeight="1" x14ac:dyDescent="0.3">
      <c r="A487" s="63"/>
      <c r="B487" s="63"/>
      <c r="C487" s="81"/>
      <c r="D487" s="63"/>
      <c r="E487" s="64"/>
      <c r="F487" s="64"/>
      <c r="G487" s="64"/>
      <c r="H487" s="73"/>
    </row>
    <row r="488" spans="1:8" ht="17.2" customHeight="1" x14ac:dyDescent="0.3">
      <c r="A488" s="63"/>
      <c r="B488" s="63"/>
      <c r="C488" s="63"/>
      <c r="D488" s="63"/>
      <c r="E488" s="64"/>
      <c r="F488" s="64"/>
      <c r="G488" s="64"/>
      <c r="H488" s="73"/>
    </row>
    <row r="489" spans="1:8" ht="17.2" customHeight="1" x14ac:dyDescent="0.3">
      <c r="A489" s="70"/>
      <c r="E489" s="71" t="s">
        <v>54</v>
      </c>
      <c r="F489" s="71"/>
      <c r="G489" s="71"/>
      <c r="H489" s="119">
        <f>ROUND(SUM(G486)+(G487),0)</f>
        <v>2500</v>
      </c>
    </row>
    <row r="490" spans="1:8" ht="17.2" customHeight="1" x14ac:dyDescent="0.3">
      <c r="A490" s="59"/>
      <c r="E490" s="71"/>
      <c r="F490" s="71"/>
      <c r="G490" s="71"/>
      <c r="H490" s="73"/>
    </row>
    <row r="491" spans="1:8" ht="17.2" customHeight="1" x14ac:dyDescent="0.3">
      <c r="A491" s="59"/>
      <c r="D491" s="82" t="s">
        <v>60</v>
      </c>
      <c r="E491" s="83"/>
      <c r="F491" s="83"/>
      <c r="G491" s="83"/>
      <c r="H491" s="72">
        <f>ROUND(SUM(H468:H490),2)</f>
        <v>110130</v>
      </c>
    </row>
    <row r="492" spans="1:8" ht="17.2" customHeight="1" x14ac:dyDescent="0.3">
      <c r="A492" s="59"/>
      <c r="E492" s="71"/>
      <c r="F492" s="71"/>
      <c r="G492" s="71"/>
      <c r="H492" s="73"/>
    </row>
    <row r="493" spans="1:8" ht="17.2" customHeight="1" x14ac:dyDescent="0.3">
      <c r="A493" s="61" t="s">
        <v>61</v>
      </c>
      <c r="B493" s="525" t="s">
        <v>62</v>
      </c>
      <c r="C493" s="526"/>
      <c r="D493" s="526"/>
      <c r="E493" s="526"/>
      <c r="F493" s="526"/>
      <c r="G493" s="527"/>
      <c r="H493" s="73"/>
    </row>
    <row r="494" spans="1:8" ht="17.2" customHeight="1" x14ac:dyDescent="0.3">
      <c r="A494" s="62"/>
      <c r="B494" s="518" t="s">
        <v>34</v>
      </c>
      <c r="C494" s="519"/>
      <c r="D494" s="518" t="s">
        <v>63</v>
      </c>
      <c r="E494" s="519"/>
      <c r="F494" s="528" t="s">
        <v>64</v>
      </c>
      <c r="G494" s="529"/>
      <c r="H494" s="73"/>
    </row>
    <row r="495" spans="1:8" ht="17.2" customHeight="1" x14ac:dyDescent="0.3">
      <c r="A495" s="63"/>
      <c r="B495" s="518" t="s">
        <v>20</v>
      </c>
      <c r="C495" s="519"/>
      <c r="D495" s="520">
        <v>0.28000000000000003</v>
      </c>
      <c r="E495" s="519"/>
      <c r="F495" s="521">
        <f>+H491*D495</f>
        <v>30836.400000000001</v>
      </c>
      <c r="G495" s="522"/>
      <c r="H495" s="73"/>
    </row>
    <row r="496" spans="1:8" ht="17.2" customHeight="1" x14ac:dyDescent="0.3">
      <c r="A496" s="63"/>
      <c r="B496" s="518" t="s">
        <v>21</v>
      </c>
      <c r="C496" s="519"/>
      <c r="D496" s="520">
        <v>0.01</v>
      </c>
      <c r="E496" s="519"/>
      <c r="F496" s="521">
        <f>+H491*D496</f>
        <v>1101.3</v>
      </c>
      <c r="G496" s="522"/>
      <c r="H496" s="73"/>
    </row>
    <row r="497" spans="1:8" ht="17.2" customHeight="1" x14ac:dyDescent="0.3">
      <c r="A497" s="63"/>
      <c r="B497" s="518" t="s">
        <v>22</v>
      </c>
      <c r="C497" s="519"/>
      <c r="D497" s="520">
        <v>0.03</v>
      </c>
      <c r="E497" s="519"/>
      <c r="F497" s="521">
        <f>+H491*D497</f>
        <v>3303.9</v>
      </c>
      <c r="G497" s="522"/>
      <c r="H497" s="73"/>
    </row>
    <row r="498" spans="1:8" ht="17.2" customHeight="1" x14ac:dyDescent="0.3">
      <c r="A498" s="63"/>
      <c r="B498" s="518" t="s">
        <v>188</v>
      </c>
      <c r="C498" s="519"/>
      <c r="D498" s="520">
        <v>0.19</v>
      </c>
      <c r="E498" s="519"/>
      <c r="F498" s="521">
        <f>D498*F497</f>
        <v>627.74099999999999</v>
      </c>
      <c r="G498" s="522"/>
      <c r="H498" s="73"/>
    </row>
    <row r="499" spans="1:8" ht="17.2" customHeight="1" x14ac:dyDescent="0.3">
      <c r="A499" s="59"/>
      <c r="D499" s="82" t="s">
        <v>65</v>
      </c>
      <c r="E499" s="83"/>
      <c r="F499" s="83"/>
      <c r="G499" s="83"/>
      <c r="H499" s="72">
        <f>SUM(F495:G498)</f>
        <v>35869.341</v>
      </c>
    </row>
    <row r="500" spans="1:8" ht="17.2" customHeight="1" x14ac:dyDescent="0.3">
      <c r="A500" s="59"/>
      <c r="E500" s="71"/>
      <c r="F500" s="71"/>
      <c r="G500" s="71"/>
      <c r="H500" s="73"/>
    </row>
    <row r="501" spans="1:8" ht="17.2" customHeight="1" x14ac:dyDescent="0.3">
      <c r="A501" s="59"/>
      <c r="D501" s="82" t="s">
        <v>66</v>
      </c>
      <c r="E501" s="83"/>
      <c r="F501" s="83"/>
      <c r="G501" s="71"/>
      <c r="H501" s="72">
        <f>H491+H499</f>
        <v>145999.34100000001</v>
      </c>
    </row>
    <row r="502" spans="1:8" ht="17.2" customHeight="1" x14ac:dyDescent="0.3">
      <c r="A502" s="59"/>
      <c r="D502" s="82"/>
      <c r="E502" s="83"/>
      <c r="F502" s="83"/>
      <c r="G502" s="71"/>
      <c r="H502" s="73"/>
    </row>
    <row r="503" spans="1:8" ht="17.2" customHeight="1" x14ac:dyDescent="0.3">
      <c r="A503" s="59"/>
      <c r="E503" s="83"/>
      <c r="F503" s="83"/>
      <c r="G503" s="71"/>
      <c r="H503" s="73"/>
    </row>
    <row r="504" spans="1:8" ht="17.2" customHeight="1" x14ac:dyDescent="0.3">
      <c r="A504" s="84"/>
      <c r="B504" s="85"/>
      <c r="E504" s="46"/>
      <c r="F504" s="47"/>
      <c r="G504" s="48"/>
      <c r="H504" s="73"/>
    </row>
    <row r="505" spans="1:8" ht="17.2" customHeight="1" x14ac:dyDescent="0.3">
      <c r="A505" s="86" t="s">
        <v>67</v>
      </c>
      <c r="B505" s="50" t="s">
        <v>68</v>
      </c>
      <c r="E505" s="49" t="s">
        <v>27</v>
      </c>
      <c r="F505" s="50"/>
      <c r="G505" s="50"/>
      <c r="H505" s="87"/>
    </row>
    <row r="506" spans="1:8" ht="17.2" customHeight="1" x14ac:dyDescent="0.3">
      <c r="A506" s="88" t="s">
        <v>28</v>
      </c>
      <c r="B506" s="50"/>
      <c r="E506" s="50" t="str">
        <f ca="1">+$E$52</f>
        <v>SECRETARIO DE PLANEACION Y OBRAS PUBLICAS</v>
      </c>
      <c r="F506" s="50"/>
      <c r="G506" s="50"/>
      <c r="H506" s="87"/>
    </row>
    <row r="507" spans="1:8" ht="18.2" customHeight="1" x14ac:dyDescent="0.3">
      <c r="A507" s="89"/>
      <c r="B507" s="90"/>
      <c r="C507" s="85"/>
      <c r="D507" s="85"/>
      <c r="E507" s="90" t="str">
        <f ca="1">+$E$53</f>
        <v>SAN MIGUEL - PUTUMAYO</v>
      </c>
      <c r="F507" s="90"/>
      <c r="G507" s="90"/>
      <c r="H507" s="91"/>
    </row>
    <row r="508" spans="1:8" ht="17.2" customHeight="1" x14ac:dyDescent="0.3">
      <c r="A508" s="556"/>
      <c r="B508" s="557"/>
      <c r="C508" s="380" t="s">
        <v>2</v>
      </c>
      <c r="D508" s="382" t="s">
        <v>3</v>
      </c>
      <c r="E508" s="383"/>
      <c r="F508" s="1">
        <v>103</v>
      </c>
      <c r="G508" s="548"/>
      <c r="H508" s="549"/>
    </row>
    <row r="509" spans="1:8" ht="17.2" customHeight="1" x14ac:dyDescent="0.3">
      <c r="A509" s="558"/>
      <c r="B509" s="559"/>
      <c r="C509" s="381"/>
      <c r="D509" s="396" t="s">
        <v>4</v>
      </c>
      <c r="E509" s="397"/>
      <c r="F509" s="400">
        <v>51</v>
      </c>
      <c r="G509" s="550"/>
      <c r="H509" s="551"/>
    </row>
    <row r="510" spans="1:8" ht="17.2" customHeight="1" x14ac:dyDescent="0.3">
      <c r="A510" s="558"/>
      <c r="B510" s="559"/>
      <c r="C510" s="5" t="s">
        <v>5</v>
      </c>
      <c r="D510" s="398"/>
      <c r="E510" s="399"/>
      <c r="F510" s="401"/>
      <c r="G510" s="550"/>
      <c r="H510" s="551"/>
    </row>
    <row r="511" spans="1:8" ht="26.85" customHeight="1" x14ac:dyDescent="0.3">
      <c r="A511" s="558"/>
      <c r="B511" s="559"/>
      <c r="C511" s="55" t="s">
        <v>6</v>
      </c>
      <c r="D511" s="402" t="s">
        <v>7</v>
      </c>
      <c r="E511" s="403"/>
      <c r="F511" s="7">
        <v>1</v>
      </c>
      <c r="G511" s="550"/>
      <c r="H511" s="551"/>
    </row>
    <row r="512" spans="1:8" ht="17.2" customHeight="1" x14ac:dyDescent="0.3">
      <c r="A512" s="558"/>
      <c r="B512" s="559"/>
      <c r="C512" s="530" t="s">
        <v>8</v>
      </c>
      <c r="D512" s="532" t="s">
        <v>9</v>
      </c>
      <c r="E512" s="533"/>
      <c r="F512" s="5" t="s">
        <v>10</v>
      </c>
      <c r="G512" s="550"/>
      <c r="H512" s="551"/>
    </row>
    <row r="513" spans="1:8" ht="17.2" customHeight="1" x14ac:dyDescent="0.3">
      <c r="A513" s="560"/>
      <c r="B513" s="561"/>
      <c r="C513" s="531"/>
      <c r="D513" s="534"/>
      <c r="E513" s="535"/>
      <c r="F513" s="8">
        <f>$F$6</f>
        <v>45402</v>
      </c>
      <c r="G513" s="552"/>
      <c r="H513" s="553"/>
    </row>
    <row r="514" spans="1:8" ht="17.2" customHeight="1" thickBot="1" x14ac:dyDescent="0.35">
      <c r="A514" s="536"/>
      <c r="B514" s="537"/>
      <c r="C514" s="537"/>
      <c r="D514" s="537"/>
      <c r="E514" s="537"/>
      <c r="F514" s="537"/>
      <c r="G514" s="537"/>
      <c r="H514" s="538"/>
    </row>
    <row r="515" spans="1:8" ht="28.15" customHeight="1" thickBot="1" x14ac:dyDescent="0.35">
      <c r="A515" s="92">
        <v>3.1</v>
      </c>
      <c r="B515" s="539" t="str">
        <f>VLOOKUP(A515,PRESUPUESTO!$A$14:$G$71,2,)</f>
        <v>Viga de cimentacion de (30x35cm) en concreto 3000 PSI</v>
      </c>
      <c r="C515" s="540"/>
      <c r="D515" s="540"/>
      <c r="E515" s="540"/>
      <c r="F515" s="541"/>
      <c r="G515" s="57" t="s">
        <v>31</v>
      </c>
      <c r="H515" s="58" t="str">
        <f>VLOOKUP(A515,PRESUPUESTO!$A$14:$G$71,4,)</f>
        <v>ML</v>
      </c>
    </row>
    <row r="516" spans="1:8" ht="17.2" customHeight="1" x14ac:dyDescent="0.3">
      <c r="A516" s="59"/>
      <c r="H516" s="60"/>
    </row>
    <row r="517" spans="1:8" ht="17.2" customHeight="1" x14ac:dyDescent="0.3">
      <c r="A517" s="61" t="s">
        <v>32</v>
      </c>
      <c r="B517" s="525" t="s">
        <v>33</v>
      </c>
      <c r="C517" s="526"/>
      <c r="D517" s="526"/>
      <c r="E517" s="526"/>
      <c r="F517" s="526"/>
      <c r="G517" s="527"/>
      <c r="H517" s="60"/>
    </row>
    <row r="518" spans="1:8" ht="17.2" customHeight="1" x14ac:dyDescent="0.3">
      <c r="A518" s="62"/>
      <c r="B518" s="518" t="s">
        <v>34</v>
      </c>
      <c r="C518" s="519"/>
      <c r="D518" s="62" t="s">
        <v>35</v>
      </c>
      <c r="E518" s="62" t="s">
        <v>69</v>
      </c>
      <c r="F518" s="62" t="s">
        <v>70</v>
      </c>
      <c r="G518" s="62" t="s">
        <v>38</v>
      </c>
      <c r="H518" s="60"/>
    </row>
    <row r="519" spans="1:8" ht="17.2" customHeight="1" x14ac:dyDescent="0.3">
      <c r="A519" s="63"/>
      <c r="B519" s="542" t="s">
        <v>39</v>
      </c>
      <c r="C519" s="543"/>
      <c r="D519" s="63"/>
      <c r="E519" s="64"/>
      <c r="F519" s="64">
        <v>0.1</v>
      </c>
      <c r="G519" s="65">
        <f>ROUND(H535*F519,2)</f>
        <v>5687.5</v>
      </c>
      <c r="H519" s="66"/>
    </row>
    <row r="520" spans="1:8" ht="17.2" customHeight="1" x14ac:dyDescent="0.3">
      <c r="A520" s="63"/>
      <c r="B520" s="542" t="s">
        <v>187</v>
      </c>
      <c r="C520" s="543"/>
      <c r="D520" s="62" t="s">
        <v>81</v>
      </c>
      <c r="E520" s="273">
        <v>100000</v>
      </c>
      <c r="F520" s="64">
        <v>0.02</v>
      </c>
      <c r="G520" s="274">
        <f>E520*F520</f>
        <v>2000</v>
      </c>
      <c r="H520" s="66"/>
    </row>
    <row r="521" spans="1:8" ht="17.2" customHeight="1" x14ac:dyDescent="0.3">
      <c r="A521" s="70"/>
      <c r="E521" s="71" t="s">
        <v>40</v>
      </c>
      <c r="F521" s="71"/>
      <c r="G521" s="71"/>
      <c r="H521" s="72">
        <f>ROUND(SUM(G519:G520),2)</f>
        <v>7687.5</v>
      </c>
    </row>
    <row r="522" spans="1:8" ht="17.2" customHeight="1" x14ac:dyDescent="0.3">
      <c r="A522" s="61" t="s">
        <v>41</v>
      </c>
      <c r="B522" s="525" t="s">
        <v>42</v>
      </c>
      <c r="C522" s="526"/>
      <c r="D522" s="526"/>
      <c r="E522" s="526"/>
      <c r="F522" s="526"/>
      <c r="G522" s="527"/>
      <c r="H522" s="73"/>
    </row>
    <row r="523" spans="1:8" ht="17.2" customHeight="1" x14ac:dyDescent="0.3">
      <c r="A523" s="62"/>
      <c r="B523" s="518" t="s">
        <v>34</v>
      </c>
      <c r="C523" s="519"/>
      <c r="D523" s="62" t="s">
        <v>43</v>
      </c>
      <c r="E523" s="74" t="s">
        <v>44</v>
      </c>
      <c r="F523" s="74" t="s">
        <v>45</v>
      </c>
      <c r="G523" s="74" t="s">
        <v>38</v>
      </c>
      <c r="H523" s="73"/>
    </row>
    <row r="524" spans="1:8" ht="15.05" x14ac:dyDescent="0.3">
      <c r="A524" s="63"/>
      <c r="B524" s="554" t="s">
        <v>181</v>
      </c>
      <c r="C524" s="555"/>
      <c r="D524" s="93" t="s">
        <v>180</v>
      </c>
      <c r="E524" s="94">
        <f>350*0.105</f>
        <v>36.75</v>
      </c>
      <c r="F524" s="272">
        <v>800</v>
      </c>
      <c r="G524" s="120">
        <f>ROUND(E524*F524,2)</f>
        <v>29400</v>
      </c>
      <c r="H524" s="73"/>
    </row>
    <row r="525" spans="1:8" ht="17.2" customHeight="1" x14ac:dyDescent="0.3">
      <c r="A525" s="63"/>
      <c r="B525" s="523" t="s">
        <v>182</v>
      </c>
      <c r="C525" s="524"/>
      <c r="D525" s="93" t="s">
        <v>0</v>
      </c>
      <c r="E525" s="94">
        <f>0.555*0.105</f>
        <v>5.8275E-2</v>
      </c>
      <c r="F525" s="272">
        <v>70000</v>
      </c>
      <c r="G525" s="67">
        <f t="shared" ref="G525:G526" si="0">ROUND(E525*F525,2)</f>
        <v>4079.25</v>
      </c>
      <c r="H525" s="73"/>
    </row>
    <row r="526" spans="1:8" ht="17.2" customHeight="1" x14ac:dyDescent="0.3">
      <c r="A526" s="63"/>
      <c r="B526" s="523" t="s">
        <v>183</v>
      </c>
      <c r="C526" s="524"/>
      <c r="D526" s="93" t="s">
        <v>0</v>
      </c>
      <c r="E526" s="94">
        <f>0.835*0.105</f>
        <v>8.7674999999999989E-2</v>
      </c>
      <c r="F526" s="272">
        <v>130000</v>
      </c>
      <c r="G526" s="67">
        <f t="shared" si="0"/>
        <v>11397.75</v>
      </c>
      <c r="H526" s="73"/>
    </row>
    <row r="527" spans="1:8" ht="17.2" customHeight="1" x14ac:dyDescent="0.3">
      <c r="A527" s="63"/>
      <c r="B527" s="523" t="s">
        <v>184</v>
      </c>
      <c r="C527" s="524"/>
      <c r="D527" s="93" t="s">
        <v>185</v>
      </c>
      <c r="E527" s="94">
        <f>170*0.105</f>
        <v>17.849999999999998</v>
      </c>
      <c r="F527" s="272">
        <v>40</v>
      </c>
      <c r="G527" s="67">
        <f>E527*F527</f>
        <v>713.99999999999989</v>
      </c>
      <c r="H527" s="73"/>
    </row>
    <row r="528" spans="1:8" ht="17.2" customHeight="1" x14ac:dyDescent="0.3">
      <c r="A528" s="63"/>
      <c r="B528" s="523"/>
      <c r="C528" s="524"/>
      <c r="D528" s="93"/>
      <c r="E528" s="94"/>
      <c r="F528" s="95"/>
      <c r="G528" s="67"/>
      <c r="H528" s="73"/>
    </row>
    <row r="529" spans="1:8" ht="17.2" customHeight="1" x14ac:dyDescent="0.3">
      <c r="A529" s="70" t="s">
        <v>46</v>
      </c>
      <c r="E529" s="71" t="s">
        <v>47</v>
      </c>
      <c r="F529" s="71"/>
      <c r="G529" s="71"/>
      <c r="H529" s="76">
        <f>ROUND(SUM(G524:G528),2)</f>
        <v>45591</v>
      </c>
    </row>
    <row r="530" spans="1:8" ht="17.2" customHeight="1" x14ac:dyDescent="0.3">
      <c r="A530" s="61" t="s">
        <v>48</v>
      </c>
      <c r="B530" s="525" t="s">
        <v>49</v>
      </c>
      <c r="C530" s="526"/>
      <c r="D530" s="526"/>
      <c r="E530" s="526"/>
      <c r="F530" s="526"/>
      <c r="G530" s="527"/>
      <c r="H530" s="73"/>
    </row>
    <row r="531" spans="1:8" ht="17.2" customHeight="1" x14ac:dyDescent="0.3">
      <c r="A531" s="62" t="s">
        <v>50</v>
      </c>
      <c r="B531" s="62" t="s">
        <v>34</v>
      </c>
      <c r="C531" s="62" t="s">
        <v>51</v>
      </c>
      <c r="D531" s="62" t="s">
        <v>52</v>
      </c>
      <c r="E531" s="74" t="s">
        <v>53</v>
      </c>
      <c r="F531" s="64" t="s">
        <v>238</v>
      </c>
      <c r="G531" s="64" t="s">
        <v>38</v>
      </c>
      <c r="H531" s="73"/>
    </row>
    <row r="532" spans="1:8" ht="17.2" customHeight="1" x14ac:dyDescent="0.3">
      <c r="A532" s="62">
        <v>1</v>
      </c>
      <c r="B532" s="63" t="s">
        <v>79</v>
      </c>
      <c r="C532" s="77">
        <v>120000</v>
      </c>
      <c r="D532" s="78">
        <v>0.75</v>
      </c>
      <c r="E532" s="79">
        <f>+(A532*C532)+(A532*C532*D532)</f>
        <v>210000</v>
      </c>
      <c r="F532" s="75">
        <v>8</v>
      </c>
      <c r="G532" s="65">
        <f>ROUND(E532/(F532),2)</f>
        <v>26250</v>
      </c>
      <c r="H532" s="73"/>
    </row>
    <row r="533" spans="1:8" ht="17.2" customHeight="1" x14ac:dyDescent="0.3">
      <c r="A533" s="62">
        <v>2</v>
      </c>
      <c r="B533" s="63" t="s">
        <v>80</v>
      </c>
      <c r="C533" s="77">
        <v>70000</v>
      </c>
      <c r="D533" s="78">
        <v>0.75</v>
      </c>
      <c r="E533" s="79">
        <f>+(A533*C533)+(A533*C533*D533)</f>
        <v>245000</v>
      </c>
      <c r="F533" s="75">
        <v>8</v>
      </c>
      <c r="G533" s="65">
        <f>ROUND(E533/(F533),2)</f>
        <v>30625</v>
      </c>
      <c r="H533" s="73"/>
    </row>
    <row r="534" spans="1:8" ht="17.2" customHeight="1" x14ac:dyDescent="0.3">
      <c r="A534" s="63"/>
      <c r="B534" s="63"/>
      <c r="C534" s="63"/>
      <c r="D534" s="63"/>
      <c r="E534" s="64"/>
      <c r="F534" s="64"/>
      <c r="G534" s="64"/>
      <c r="H534" s="73"/>
    </row>
    <row r="535" spans="1:8" ht="17.2" customHeight="1" x14ac:dyDescent="0.3">
      <c r="A535" s="70"/>
      <c r="E535" s="71" t="s">
        <v>54</v>
      </c>
      <c r="F535" s="71"/>
      <c r="G535" s="71"/>
      <c r="H535" s="72">
        <f>ROUND(SUM(G532)+(G533),2)</f>
        <v>56875</v>
      </c>
    </row>
    <row r="536" spans="1:8" ht="17.2" customHeight="1" x14ac:dyDescent="0.3">
      <c r="A536" s="61" t="s">
        <v>55</v>
      </c>
      <c r="B536" s="525" t="s">
        <v>56</v>
      </c>
      <c r="C536" s="526"/>
      <c r="D536" s="526"/>
      <c r="E536" s="526"/>
      <c r="F536" s="526"/>
      <c r="G536" s="527"/>
      <c r="H536" s="73"/>
    </row>
    <row r="537" spans="1:8" ht="17.2" customHeight="1" x14ac:dyDescent="0.3">
      <c r="A537" s="63"/>
      <c r="B537" s="63" t="s">
        <v>34</v>
      </c>
      <c r="C537" s="62" t="s">
        <v>43</v>
      </c>
      <c r="D537" s="62" t="s">
        <v>57</v>
      </c>
      <c r="E537" s="62" t="s">
        <v>58</v>
      </c>
      <c r="F537" s="62"/>
      <c r="G537" s="64" t="s">
        <v>59</v>
      </c>
      <c r="H537" s="73"/>
    </row>
    <row r="538" spans="1:8" ht="17.2" customHeight="1" x14ac:dyDescent="0.3">
      <c r="A538" s="63"/>
      <c r="B538" s="63" t="s">
        <v>82</v>
      </c>
      <c r="C538" s="80" t="s">
        <v>83</v>
      </c>
      <c r="D538" s="63">
        <v>5.0000000000000001E-3</v>
      </c>
      <c r="E538" s="64">
        <f>3000000/15</f>
        <v>200000</v>
      </c>
      <c r="F538" s="64"/>
      <c r="G538" s="64">
        <f>D538*E538</f>
        <v>1000</v>
      </c>
      <c r="H538" s="73"/>
    </row>
    <row r="539" spans="1:8" ht="17.2" customHeight="1" x14ac:dyDescent="0.3">
      <c r="A539" s="63"/>
      <c r="B539" s="63"/>
      <c r="C539" s="81"/>
      <c r="D539" s="63"/>
      <c r="E539" s="64"/>
      <c r="F539" s="64"/>
      <c r="G539" s="64"/>
      <c r="H539" s="73"/>
    </row>
    <row r="540" spans="1:8" ht="17.2" customHeight="1" x14ac:dyDescent="0.3">
      <c r="A540" s="63"/>
      <c r="B540" s="63"/>
      <c r="C540" s="63"/>
      <c r="D540" s="63"/>
      <c r="E540" s="64"/>
      <c r="F540" s="64"/>
      <c r="G540" s="64"/>
      <c r="H540" s="73"/>
    </row>
    <row r="541" spans="1:8" ht="17.2" customHeight="1" x14ac:dyDescent="0.3">
      <c r="A541" s="70"/>
      <c r="E541" s="71" t="s">
        <v>54</v>
      </c>
      <c r="F541" s="71"/>
      <c r="G541" s="71"/>
      <c r="H541" s="119">
        <f>ROUND(SUM(G538)+(G539),0)</f>
        <v>1000</v>
      </c>
    </row>
    <row r="542" spans="1:8" ht="17.2" customHeight="1" x14ac:dyDescent="0.3">
      <c r="A542" s="59"/>
      <c r="E542" s="71"/>
      <c r="F542" s="71"/>
      <c r="G542" s="71"/>
      <c r="H542" s="73"/>
    </row>
    <row r="543" spans="1:8" ht="17.2" customHeight="1" x14ac:dyDescent="0.3">
      <c r="A543" s="59"/>
      <c r="D543" s="82" t="s">
        <v>60</v>
      </c>
      <c r="E543" s="83"/>
      <c r="F543" s="83"/>
      <c r="G543" s="83"/>
      <c r="H543" s="72">
        <f>ROUND(SUM(H521:H542),2)</f>
        <v>111153.5</v>
      </c>
    </row>
    <row r="544" spans="1:8" ht="17.2" customHeight="1" x14ac:dyDescent="0.3">
      <c r="A544" s="59"/>
      <c r="E544" s="71"/>
      <c r="F544" s="71"/>
      <c r="G544" s="71"/>
      <c r="H544" s="73"/>
    </row>
    <row r="545" spans="1:8" ht="17.2" customHeight="1" x14ac:dyDescent="0.3">
      <c r="A545" s="61" t="s">
        <v>61</v>
      </c>
      <c r="B545" s="525" t="s">
        <v>62</v>
      </c>
      <c r="C545" s="526"/>
      <c r="D545" s="526"/>
      <c r="E545" s="526"/>
      <c r="F545" s="526"/>
      <c r="G545" s="527"/>
      <c r="H545" s="73"/>
    </row>
    <row r="546" spans="1:8" ht="17.2" customHeight="1" x14ac:dyDescent="0.3">
      <c r="A546" s="62"/>
      <c r="B546" s="518" t="s">
        <v>34</v>
      </c>
      <c r="C546" s="519"/>
      <c r="D546" s="518" t="s">
        <v>63</v>
      </c>
      <c r="E546" s="519"/>
      <c r="F546" s="528" t="s">
        <v>64</v>
      </c>
      <c r="G546" s="529"/>
      <c r="H546" s="73"/>
    </row>
    <row r="547" spans="1:8" ht="17.2" customHeight="1" x14ac:dyDescent="0.3">
      <c r="A547" s="63"/>
      <c r="B547" s="518" t="s">
        <v>20</v>
      </c>
      <c r="C547" s="519"/>
      <c r="D547" s="520">
        <v>0.28000000000000003</v>
      </c>
      <c r="E547" s="519"/>
      <c r="F547" s="521">
        <f>+H543*D547</f>
        <v>31122.980000000003</v>
      </c>
      <c r="G547" s="522"/>
      <c r="H547" s="73"/>
    </row>
    <row r="548" spans="1:8" ht="17.2" customHeight="1" x14ac:dyDescent="0.3">
      <c r="A548" s="63"/>
      <c r="B548" s="518" t="s">
        <v>21</v>
      </c>
      <c r="C548" s="519"/>
      <c r="D548" s="520">
        <v>0.01</v>
      </c>
      <c r="E548" s="519"/>
      <c r="F548" s="521">
        <f>+H543*D548</f>
        <v>1111.5350000000001</v>
      </c>
      <c r="G548" s="522"/>
      <c r="H548" s="73"/>
    </row>
    <row r="549" spans="1:8" ht="17.2" customHeight="1" x14ac:dyDescent="0.3">
      <c r="A549" s="63"/>
      <c r="B549" s="518" t="s">
        <v>22</v>
      </c>
      <c r="C549" s="519"/>
      <c r="D549" s="520">
        <v>0.03</v>
      </c>
      <c r="E549" s="519"/>
      <c r="F549" s="521">
        <f>+H543*D549</f>
        <v>3334.605</v>
      </c>
      <c r="G549" s="522"/>
      <c r="H549" s="73"/>
    </row>
    <row r="550" spans="1:8" ht="17.2" customHeight="1" x14ac:dyDescent="0.3">
      <c r="A550" s="63"/>
      <c r="B550" s="518" t="s">
        <v>188</v>
      </c>
      <c r="C550" s="519"/>
      <c r="D550" s="520">
        <v>0.19</v>
      </c>
      <c r="E550" s="519"/>
      <c r="F550" s="521">
        <f>D550*F549</f>
        <v>633.57495000000006</v>
      </c>
      <c r="G550" s="522"/>
      <c r="H550" s="73"/>
    </row>
    <row r="551" spans="1:8" ht="17.2" customHeight="1" x14ac:dyDescent="0.3">
      <c r="A551" s="59"/>
      <c r="D551" s="82" t="s">
        <v>65</v>
      </c>
      <c r="E551" s="83"/>
      <c r="F551" s="83"/>
      <c r="G551" s="83"/>
      <c r="H551" s="72">
        <f>SUM(F547:G550)</f>
        <v>36202.694950000005</v>
      </c>
    </row>
    <row r="552" spans="1:8" ht="17.2" customHeight="1" x14ac:dyDescent="0.3">
      <c r="A552" s="59"/>
      <c r="E552" s="71"/>
      <c r="F552" s="71"/>
      <c r="G552" s="71"/>
      <c r="H552" s="73"/>
    </row>
    <row r="553" spans="1:8" ht="17.2" customHeight="1" x14ac:dyDescent="0.3">
      <c r="A553" s="59"/>
      <c r="D553" s="82" t="s">
        <v>66</v>
      </c>
      <c r="E553" s="83"/>
      <c r="F553" s="83"/>
      <c r="G553" s="71"/>
      <c r="H553" s="72">
        <f>H543+H551</f>
        <v>147356.19495</v>
      </c>
    </row>
    <row r="554" spans="1:8" ht="17.2" customHeight="1" x14ac:dyDescent="0.3">
      <c r="A554" s="59"/>
      <c r="D554" s="82"/>
      <c r="E554" s="83"/>
      <c r="F554" s="83"/>
      <c r="G554" s="71"/>
      <c r="H554" s="73"/>
    </row>
    <row r="555" spans="1:8" ht="17.2" customHeight="1" x14ac:dyDescent="0.3">
      <c r="A555" s="59"/>
      <c r="E555" s="83"/>
      <c r="F555" s="83"/>
      <c r="G555" s="71"/>
      <c r="H555" s="73"/>
    </row>
    <row r="556" spans="1:8" ht="17.2" customHeight="1" x14ac:dyDescent="0.3">
      <c r="A556" s="84"/>
      <c r="B556" s="85"/>
      <c r="E556" s="46"/>
      <c r="F556" s="47"/>
      <c r="G556" s="48"/>
      <c r="H556" s="73"/>
    </row>
    <row r="557" spans="1:8" ht="17.2" customHeight="1" x14ac:dyDescent="0.3">
      <c r="A557" s="86" t="s">
        <v>67</v>
      </c>
      <c r="B557" s="50" t="s">
        <v>68</v>
      </c>
      <c r="E557" s="49" t="s">
        <v>27</v>
      </c>
      <c r="F557" s="50"/>
      <c r="G557" s="50"/>
      <c r="H557" s="87"/>
    </row>
    <row r="558" spans="1:8" ht="17.2" customHeight="1" x14ac:dyDescent="0.3">
      <c r="A558" s="88" t="s">
        <v>28</v>
      </c>
      <c r="B558" s="50"/>
      <c r="E558" s="50" t="str">
        <f ca="1">+$E$52</f>
        <v>SECRETARIO DE PLANEACION Y OBRAS PUBLICAS</v>
      </c>
      <c r="F558" s="50"/>
      <c r="G558" s="50"/>
      <c r="H558" s="87"/>
    </row>
    <row r="559" spans="1:8" ht="18.2" customHeight="1" x14ac:dyDescent="0.3">
      <c r="A559" s="89"/>
      <c r="B559" s="90"/>
      <c r="C559" s="85"/>
      <c r="D559" s="85"/>
      <c r="E559" s="90" t="str">
        <f ca="1">+$E$53</f>
        <v>SAN MIGUEL - PUTUMAYO</v>
      </c>
      <c r="F559" s="90"/>
      <c r="G559" s="90"/>
      <c r="H559" s="91"/>
    </row>
    <row r="560" spans="1:8" ht="17.2" customHeight="1" x14ac:dyDescent="0.3">
      <c r="A560" s="556"/>
      <c r="B560" s="557"/>
      <c r="C560" s="380" t="s">
        <v>2</v>
      </c>
      <c r="D560" s="382" t="s">
        <v>3</v>
      </c>
      <c r="E560" s="383"/>
      <c r="F560" s="1">
        <v>103</v>
      </c>
      <c r="G560" s="548"/>
      <c r="H560" s="549"/>
    </row>
    <row r="561" spans="1:8" ht="17.2" customHeight="1" x14ac:dyDescent="0.3">
      <c r="A561" s="558"/>
      <c r="B561" s="559"/>
      <c r="C561" s="381"/>
      <c r="D561" s="396" t="s">
        <v>4</v>
      </c>
      <c r="E561" s="397"/>
      <c r="F561" s="400">
        <v>51</v>
      </c>
      <c r="G561" s="550"/>
      <c r="H561" s="551"/>
    </row>
    <row r="562" spans="1:8" ht="17.2" customHeight="1" x14ac:dyDescent="0.3">
      <c r="A562" s="558"/>
      <c r="B562" s="559"/>
      <c r="C562" s="5" t="s">
        <v>5</v>
      </c>
      <c r="D562" s="398"/>
      <c r="E562" s="399"/>
      <c r="F562" s="401"/>
      <c r="G562" s="550"/>
      <c r="H562" s="551"/>
    </row>
    <row r="563" spans="1:8" ht="26.85" customHeight="1" x14ac:dyDescent="0.3">
      <c r="A563" s="558"/>
      <c r="B563" s="559"/>
      <c r="C563" s="55" t="s">
        <v>6</v>
      </c>
      <c r="D563" s="402" t="s">
        <v>7</v>
      </c>
      <c r="E563" s="403"/>
      <c r="F563" s="7">
        <v>1</v>
      </c>
      <c r="G563" s="550"/>
      <c r="H563" s="551"/>
    </row>
    <row r="564" spans="1:8" ht="17.2" customHeight="1" x14ac:dyDescent="0.3">
      <c r="A564" s="558"/>
      <c r="B564" s="559"/>
      <c r="C564" s="530" t="s">
        <v>8</v>
      </c>
      <c r="D564" s="532" t="s">
        <v>9</v>
      </c>
      <c r="E564" s="533"/>
      <c r="F564" s="5" t="s">
        <v>10</v>
      </c>
      <c r="G564" s="550"/>
      <c r="H564" s="551"/>
    </row>
    <row r="565" spans="1:8" ht="17.2" customHeight="1" x14ac:dyDescent="0.3">
      <c r="A565" s="560"/>
      <c r="B565" s="561"/>
      <c r="C565" s="531"/>
      <c r="D565" s="534"/>
      <c r="E565" s="535"/>
      <c r="F565" s="8">
        <f>$F$6</f>
        <v>45402</v>
      </c>
      <c r="G565" s="552"/>
      <c r="H565" s="553"/>
    </row>
    <row r="566" spans="1:8" ht="17.2" customHeight="1" thickBot="1" x14ac:dyDescent="0.35">
      <c r="A566" s="536"/>
      <c r="B566" s="537"/>
      <c r="C566" s="537"/>
      <c r="D566" s="537"/>
      <c r="E566" s="537"/>
      <c r="F566" s="537"/>
      <c r="G566" s="537"/>
      <c r="H566" s="538"/>
    </row>
    <row r="567" spans="1:8" ht="28.15" customHeight="1" thickBot="1" x14ac:dyDescent="0.35">
      <c r="A567" s="92">
        <v>3.2</v>
      </c>
      <c r="B567" s="539" t="str">
        <f>VLOOKUP(A567,PRESUPUESTO!$A$14:$G$71,2,)</f>
        <v>Vigas de corona de (12x20cm ) en concreto de 3000 PSI</v>
      </c>
      <c r="C567" s="540"/>
      <c r="D567" s="540"/>
      <c r="E567" s="540"/>
      <c r="F567" s="541"/>
      <c r="G567" s="57" t="s">
        <v>31</v>
      </c>
      <c r="H567" s="58" t="str">
        <f>VLOOKUP(A567,PRESUPUESTO!$A$14:$G$71,4,)</f>
        <v>ML</v>
      </c>
    </row>
    <row r="568" spans="1:8" ht="17.2" customHeight="1" x14ac:dyDescent="0.3">
      <c r="A568" s="59"/>
      <c r="H568" s="60"/>
    </row>
    <row r="569" spans="1:8" ht="17.2" customHeight="1" x14ac:dyDescent="0.3">
      <c r="A569" s="61" t="s">
        <v>32</v>
      </c>
      <c r="B569" s="525" t="s">
        <v>33</v>
      </c>
      <c r="C569" s="526"/>
      <c r="D569" s="526"/>
      <c r="E569" s="526"/>
      <c r="F569" s="526"/>
      <c r="G569" s="527"/>
      <c r="H569" s="60"/>
    </row>
    <row r="570" spans="1:8" ht="17.2" customHeight="1" x14ac:dyDescent="0.3">
      <c r="A570" s="62"/>
      <c r="B570" s="518" t="s">
        <v>34</v>
      </c>
      <c r="C570" s="519"/>
      <c r="D570" s="62" t="s">
        <v>35</v>
      </c>
      <c r="E570" s="62" t="s">
        <v>69</v>
      </c>
      <c r="F570" s="62" t="s">
        <v>70</v>
      </c>
      <c r="G570" s="62" t="s">
        <v>38</v>
      </c>
      <c r="H570" s="60"/>
    </row>
    <row r="571" spans="1:8" ht="17.2" customHeight="1" x14ac:dyDescent="0.3">
      <c r="A571" s="63"/>
      <c r="B571" s="542" t="s">
        <v>39</v>
      </c>
      <c r="C571" s="543"/>
      <c r="D571" s="63"/>
      <c r="E571" s="64"/>
      <c r="F571" s="64">
        <v>0.1</v>
      </c>
      <c r="G571" s="65">
        <f>ROUND(H588*F571,2)</f>
        <v>5687.5</v>
      </c>
      <c r="H571" s="66"/>
    </row>
    <row r="572" spans="1:8" ht="17.2" customHeight="1" x14ac:dyDescent="0.3">
      <c r="A572" s="63"/>
      <c r="B572" s="542" t="s">
        <v>187</v>
      </c>
      <c r="C572" s="543"/>
      <c r="D572" s="62" t="s">
        <v>81</v>
      </c>
      <c r="E572" s="273">
        <v>100000</v>
      </c>
      <c r="F572" s="64">
        <v>0.02</v>
      </c>
      <c r="G572" s="274">
        <f>E572*F572</f>
        <v>2000</v>
      </c>
      <c r="H572" s="66"/>
    </row>
    <row r="573" spans="1:8" ht="17.2" customHeight="1" x14ac:dyDescent="0.3">
      <c r="A573" s="70"/>
      <c r="E573" s="71" t="s">
        <v>40</v>
      </c>
      <c r="F573" s="71"/>
      <c r="G573" s="71"/>
      <c r="H573" s="72">
        <f>ROUND(SUM(G571:G572),2)</f>
        <v>7687.5</v>
      </c>
    </row>
    <row r="574" spans="1:8" ht="17.2" customHeight="1" x14ac:dyDescent="0.3">
      <c r="A574" s="61" t="s">
        <v>41</v>
      </c>
      <c r="B574" s="525" t="s">
        <v>42</v>
      </c>
      <c r="C574" s="526"/>
      <c r="D574" s="526"/>
      <c r="E574" s="526"/>
      <c r="F574" s="526"/>
      <c r="G574" s="527"/>
      <c r="H574" s="73"/>
    </row>
    <row r="575" spans="1:8" ht="17.2" customHeight="1" x14ac:dyDescent="0.3">
      <c r="A575" s="62"/>
      <c r="B575" s="518" t="s">
        <v>34</v>
      </c>
      <c r="C575" s="519"/>
      <c r="D575" s="62" t="s">
        <v>43</v>
      </c>
      <c r="E575" s="74" t="s">
        <v>44</v>
      </c>
      <c r="F575" s="74" t="s">
        <v>45</v>
      </c>
      <c r="G575" s="74" t="s">
        <v>38</v>
      </c>
      <c r="H575" s="73"/>
    </row>
    <row r="576" spans="1:8" ht="20.45" customHeight="1" x14ac:dyDescent="0.3">
      <c r="A576" s="63"/>
      <c r="B576" s="554" t="s">
        <v>181</v>
      </c>
      <c r="C576" s="555"/>
      <c r="D576" s="93" t="s">
        <v>180</v>
      </c>
      <c r="E576" s="94">
        <f>350*0.024</f>
        <v>8.4</v>
      </c>
      <c r="F576" s="272">
        <v>800</v>
      </c>
      <c r="G576" s="120">
        <f>ROUND(E576*F576,2)</f>
        <v>6720</v>
      </c>
      <c r="H576" s="73"/>
    </row>
    <row r="577" spans="1:11" ht="17.2" customHeight="1" x14ac:dyDescent="0.3">
      <c r="A577" s="63"/>
      <c r="B577" s="523" t="s">
        <v>182</v>
      </c>
      <c r="C577" s="524"/>
      <c r="D577" s="93" t="s">
        <v>0</v>
      </c>
      <c r="E577" s="94">
        <f>0.555*0.024</f>
        <v>1.3320000000000002E-2</v>
      </c>
      <c r="F577" s="272">
        <v>70000</v>
      </c>
      <c r="G577" s="67">
        <f t="shared" ref="G577:G578" si="1">ROUND(E577*F577,2)</f>
        <v>932.4</v>
      </c>
      <c r="H577" s="73"/>
      <c r="K577" s="54">
        <f>0.12*0.2*1</f>
        <v>2.4E-2</v>
      </c>
    </row>
    <row r="578" spans="1:11" ht="17.2" customHeight="1" x14ac:dyDescent="0.3">
      <c r="A578" s="63"/>
      <c r="B578" s="523" t="s">
        <v>183</v>
      </c>
      <c r="C578" s="524"/>
      <c r="D578" s="93" t="s">
        <v>0</v>
      </c>
      <c r="E578" s="94">
        <f>0.835*0.024</f>
        <v>2.0039999999999999E-2</v>
      </c>
      <c r="F578" s="272">
        <v>130000</v>
      </c>
      <c r="G578" s="67">
        <f t="shared" si="1"/>
        <v>2605.1999999999998</v>
      </c>
      <c r="H578" s="73"/>
    </row>
    <row r="579" spans="1:11" ht="17.2" customHeight="1" x14ac:dyDescent="0.3">
      <c r="A579" s="63"/>
      <c r="B579" s="523" t="s">
        <v>184</v>
      </c>
      <c r="C579" s="524"/>
      <c r="D579" s="93" t="s">
        <v>185</v>
      </c>
      <c r="E579" s="94">
        <f>170*0.024</f>
        <v>4.08</v>
      </c>
      <c r="F579" s="272">
        <v>40</v>
      </c>
      <c r="G579" s="67">
        <f>E579*F579</f>
        <v>163.19999999999999</v>
      </c>
      <c r="H579" s="73"/>
    </row>
    <row r="580" spans="1:11" ht="17.2" customHeight="1" x14ac:dyDescent="0.3">
      <c r="A580" s="63"/>
      <c r="B580" s="523"/>
      <c r="C580" s="524"/>
      <c r="D580" s="93"/>
      <c r="E580" s="94"/>
      <c r="F580" s="95"/>
      <c r="G580" s="67">
        <f>E580*F580</f>
        <v>0</v>
      </c>
      <c r="H580" s="73"/>
    </row>
    <row r="581" spans="1:11" ht="17.2" customHeight="1" x14ac:dyDescent="0.3">
      <c r="A581" s="63"/>
      <c r="B581" s="523"/>
      <c r="C581" s="524"/>
      <c r="D581" s="93"/>
      <c r="E581" s="94"/>
      <c r="F581" s="95"/>
      <c r="G581" s="67"/>
      <c r="H581" s="73"/>
    </row>
    <row r="582" spans="1:11" ht="17.2" customHeight="1" x14ac:dyDescent="0.3">
      <c r="A582" s="70" t="s">
        <v>46</v>
      </c>
      <c r="E582" s="71" t="s">
        <v>47</v>
      </c>
      <c r="F582" s="71"/>
      <c r="G582" s="71"/>
      <c r="H582" s="76">
        <f>ROUND(SUM(G576:G581),2)</f>
        <v>10420.799999999999</v>
      </c>
    </row>
    <row r="583" spans="1:11" ht="17.2" customHeight="1" x14ac:dyDescent="0.3">
      <c r="A583" s="61" t="s">
        <v>48</v>
      </c>
      <c r="B583" s="525" t="s">
        <v>49</v>
      </c>
      <c r="C583" s="526"/>
      <c r="D583" s="526"/>
      <c r="E583" s="526"/>
      <c r="F583" s="526"/>
      <c r="G583" s="527"/>
      <c r="H583" s="73"/>
    </row>
    <row r="584" spans="1:11" ht="17.2" customHeight="1" x14ac:dyDescent="0.3">
      <c r="A584" s="62" t="s">
        <v>50</v>
      </c>
      <c r="B584" s="62" t="s">
        <v>34</v>
      </c>
      <c r="C584" s="62" t="s">
        <v>51</v>
      </c>
      <c r="D584" s="62" t="s">
        <v>52</v>
      </c>
      <c r="E584" s="74" t="s">
        <v>53</v>
      </c>
      <c r="F584" s="64" t="s">
        <v>238</v>
      </c>
      <c r="G584" s="64" t="s">
        <v>38</v>
      </c>
      <c r="H584" s="73"/>
    </row>
    <row r="585" spans="1:11" ht="17.2" customHeight="1" x14ac:dyDescent="0.3">
      <c r="A585" s="62">
        <v>1</v>
      </c>
      <c r="B585" s="63" t="s">
        <v>79</v>
      </c>
      <c r="C585" s="77">
        <v>120000</v>
      </c>
      <c r="D585" s="78">
        <v>0.75</v>
      </c>
      <c r="E585" s="79">
        <f>+(A585*C585)+(A585*C585*D585)</f>
        <v>210000</v>
      </c>
      <c r="F585" s="75">
        <v>8</v>
      </c>
      <c r="G585" s="65">
        <f>ROUND(E585/(F585),2)</f>
        <v>26250</v>
      </c>
      <c r="H585" s="73"/>
    </row>
    <row r="586" spans="1:11" ht="17.2" customHeight="1" x14ac:dyDescent="0.3">
      <c r="A586" s="62">
        <v>2</v>
      </c>
      <c r="B586" s="63" t="s">
        <v>80</v>
      </c>
      <c r="C586" s="77">
        <v>70000</v>
      </c>
      <c r="D586" s="78">
        <v>0.75</v>
      </c>
      <c r="E586" s="79">
        <f>+(A586*C586)+(A586*C586*D586)</f>
        <v>245000</v>
      </c>
      <c r="F586" s="75">
        <v>8</v>
      </c>
      <c r="G586" s="65">
        <f>ROUND(E586/(F586),2)</f>
        <v>30625</v>
      </c>
      <c r="H586" s="73"/>
    </row>
    <row r="587" spans="1:11" ht="17.2" customHeight="1" x14ac:dyDescent="0.3">
      <c r="A587" s="63"/>
      <c r="B587" s="63"/>
      <c r="C587" s="63"/>
      <c r="D587" s="63"/>
      <c r="E587" s="64"/>
      <c r="F587" s="64"/>
      <c r="G587" s="64"/>
      <c r="H587" s="73"/>
    </row>
    <row r="588" spans="1:11" ht="17.2" customHeight="1" x14ac:dyDescent="0.3">
      <c r="A588" s="70"/>
      <c r="E588" s="71" t="s">
        <v>54</v>
      </c>
      <c r="F588" s="71"/>
      <c r="G588" s="71"/>
      <c r="H588" s="72">
        <f>ROUND(SUM(G585)+(G586),2)</f>
        <v>56875</v>
      </c>
    </row>
    <row r="589" spans="1:11" ht="17.2" customHeight="1" x14ac:dyDescent="0.3">
      <c r="A589" s="61" t="s">
        <v>55</v>
      </c>
      <c r="B589" s="525" t="s">
        <v>56</v>
      </c>
      <c r="C589" s="526"/>
      <c r="D589" s="526"/>
      <c r="E589" s="526"/>
      <c r="F589" s="526"/>
      <c r="G589" s="527"/>
      <c r="H589" s="73"/>
    </row>
    <row r="590" spans="1:11" ht="17.2" customHeight="1" x14ac:dyDescent="0.3">
      <c r="A590" s="63"/>
      <c r="B590" s="63" t="s">
        <v>34</v>
      </c>
      <c r="C590" s="62" t="s">
        <v>43</v>
      </c>
      <c r="D590" s="62" t="s">
        <v>57</v>
      </c>
      <c r="E590" s="62" t="s">
        <v>58</v>
      </c>
      <c r="F590" s="62"/>
      <c r="G590" s="64" t="s">
        <v>59</v>
      </c>
      <c r="H590" s="73"/>
    </row>
    <row r="591" spans="1:11" ht="17.2" customHeight="1" x14ac:dyDescent="0.3">
      <c r="A591" s="63"/>
      <c r="B591" s="63" t="s">
        <v>82</v>
      </c>
      <c r="C591" s="80" t="s">
        <v>83</v>
      </c>
      <c r="D591" s="63">
        <v>5.0000000000000001E-3</v>
      </c>
      <c r="E591" s="64">
        <f>3000000/15</f>
        <v>200000</v>
      </c>
      <c r="F591" s="64"/>
      <c r="G591" s="64">
        <f>D591*E591</f>
        <v>1000</v>
      </c>
      <c r="H591" s="73"/>
    </row>
    <row r="592" spans="1:11" ht="17.2" customHeight="1" x14ac:dyDescent="0.3">
      <c r="A592" s="63"/>
      <c r="B592" s="63"/>
      <c r="C592" s="81"/>
      <c r="D592" s="63"/>
      <c r="E592" s="64"/>
      <c r="F592" s="64"/>
      <c r="G592" s="64"/>
      <c r="H592" s="73"/>
    </row>
    <row r="593" spans="1:8" ht="17.2" customHeight="1" x14ac:dyDescent="0.3">
      <c r="A593" s="63"/>
      <c r="B593" s="63"/>
      <c r="C593" s="63"/>
      <c r="D593" s="63"/>
      <c r="E593" s="64"/>
      <c r="F593" s="64"/>
      <c r="G593" s="64"/>
      <c r="H593" s="73"/>
    </row>
    <row r="594" spans="1:8" ht="17.2" customHeight="1" x14ac:dyDescent="0.3">
      <c r="A594" s="70"/>
      <c r="E594" s="71" t="s">
        <v>54</v>
      </c>
      <c r="F594" s="71"/>
      <c r="G594" s="71"/>
      <c r="H594" s="119">
        <f>ROUND(SUM(G591)+(G592),0)</f>
        <v>1000</v>
      </c>
    </row>
    <row r="595" spans="1:8" ht="17.2" customHeight="1" x14ac:dyDescent="0.3">
      <c r="A595" s="59"/>
      <c r="E595" s="71"/>
      <c r="F595" s="71"/>
      <c r="G595" s="71"/>
      <c r="H595" s="73"/>
    </row>
    <row r="596" spans="1:8" ht="17.2" customHeight="1" x14ac:dyDescent="0.3">
      <c r="A596" s="59"/>
      <c r="D596" s="82" t="s">
        <v>60</v>
      </c>
      <c r="E596" s="83"/>
      <c r="F596" s="83"/>
      <c r="G596" s="83"/>
      <c r="H596" s="72">
        <f>ROUND(SUM(H573:H595),2)</f>
        <v>75983.3</v>
      </c>
    </row>
    <row r="597" spans="1:8" ht="17.2" customHeight="1" x14ac:dyDescent="0.3">
      <c r="A597" s="59"/>
      <c r="E597" s="71"/>
      <c r="F597" s="71"/>
      <c r="G597" s="71"/>
      <c r="H597" s="73"/>
    </row>
    <row r="598" spans="1:8" ht="17.2" customHeight="1" x14ac:dyDescent="0.3">
      <c r="A598" s="61" t="s">
        <v>61</v>
      </c>
      <c r="B598" s="525" t="s">
        <v>62</v>
      </c>
      <c r="C598" s="526"/>
      <c r="D598" s="526"/>
      <c r="E598" s="526"/>
      <c r="F598" s="526"/>
      <c r="G598" s="527"/>
      <c r="H598" s="73"/>
    </row>
    <row r="599" spans="1:8" ht="17.2" customHeight="1" x14ac:dyDescent="0.3">
      <c r="A599" s="62"/>
      <c r="B599" s="518" t="s">
        <v>34</v>
      </c>
      <c r="C599" s="519"/>
      <c r="D599" s="518" t="s">
        <v>63</v>
      </c>
      <c r="E599" s="519"/>
      <c r="F599" s="528" t="s">
        <v>64</v>
      </c>
      <c r="G599" s="529"/>
      <c r="H599" s="73"/>
    </row>
    <row r="600" spans="1:8" ht="17.2" customHeight="1" x14ac:dyDescent="0.3">
      <c r="A600" s="63"/>
      <c r="B600" s="518" t="s">
        <v>20</v>
      </c>
      <c r="C600" s="519"/>
      <c r="D600" s="520">
        <v>0.28000000000000003</v>
      </c>
      <c r="E600" s="519"/>
      <c r="F600" s="521">
        <f>+H596*D600</f>
        <v>21275.324000000004</v>
      </c>
      <c r="G600" s="522"/>
      <c r="H600" s="73"/>
    </row>
    <row r="601" spans="1:8" ht="17.2" customHeight="1" x14ac:dyDescent="0.3">
      <c r="A601" s="63"/>
      <c r="B601" s="518" t="s">
        <v>21</v>
      </c>
      <c r="C601" s="519"/>
      <c r="D601" s="520">
        <v>0.01</v>
      </c>
      <c r="E601" s="519"/>
      <c r="F601" s="521">
        <f>+H596*D601</f>
        <v>759.83300000000008</v>
      </c>
      <c r="G601" s="522"/>
      <c r="H601" s="73"/>
    </row>
    <row r="602" spans="1:8" ht="17.2" customHeight="1" x14ac:dyDescent="0.3">
      <c r="A602" s="63"/>
      <c r="B602" s="518" t="s">
        <v>22</v>
      </c>
      <c r="C602" s="519"/>
      <c r="D602" s="520">
        <v>0.03</v>
      </c>
      <c r="E602" s="519"/>
      <c r="F602" s="521">
        <f>+H596*D602</f>
        <v>2279.4989999999998</v>
      </c>
      <c r="G602" s="522"/>
      <c r="H602" s="73"/>
    </row>
    <row r="603" spans="1:8" ht="17.2" customHeight="1" x14ac:dyDescent="0.3">
      <c r="A603" s="63"/>
      <c r="B603" s="518" t="s">
        <v>188</v>
      </c>
      <c r="C603" s="519"/>
      <c r="D603" s="520">
        <v>0.19</v>
      </c>
      <c r="E603" s="519"/>
      <c r="F603" s="521">
        <f>D603*F602</f>
        <v>433.10480999999999</v>
      </c>
      <c r="G603" s="522"/>
      <c r="H603" s="73"/>
    </row>
    <row r="604" spans="1:8" ht="17.2" customHeight="1" x14ac:dyDescent="0.3">
      <c r="A604" s="59"/>
      <c r="D604" s="82" t="s">
        <v>65</v>
      </c>
      <c r="E604" s="83"/>
      <c r="F604" s="83"/>
      <c r="G604" s="83"/>
      <c r="H604" s="72">
        <f>SUM(F600:G603)</f>
        <v>24747.760810000003</v>
      </c>
    </row>
    <row r="605" spans="1:8" ht="17.2" customHeight="1" x14ac:dyDescent="0.3">
      <c r="A605" s="59"/>
      <c r="E605" s="71"/>
      <c r="F605" s="71"/>
      <c r="G605" s="71"/>
      <c r="H605" s="73"/>
    </row>
    <row r="606" spans="1:8" ht="17.2" customHeight="1" x14ac:dyDescent="0.3">
      <c r="A606" s="59"/>
      <c r="D606" s="82" t="s">
        <v>66</v>
      </c>
      <c r="E606" s="83"/>
      <c r="F606" s="83"/>
      <c r="G606" s="71"/>
      <c r="H606" s="72">
        <f>H596+H604</f>
        <v>100731.06081000001</v>
      </c>
    </row>
    <row r="607" spans="1:8" ht="17.2" customHeight="1" x14ac:dyDescent="0.3">
      <c r="A607" s="59"/>
      <c r="D607" s="82"/>
      <c r="E607" s="83"/>
      <c r="F607" s="83"/>
      <c r="G607" s="71"/>
      <c r="H607" s="73"/>
    </row>
    <row r="608" spans="1:8" ht="17.2" customHeight="1" x14ac:dyDescent="0.3">
      <c r="A608" s="59"/>
      <c r="E608" s="83"/>
      <c r="F608" s="83"/>
      <c r="G608" s="71"/>
      <c r="H608" s="73"/>
    </row>
    <row r="609" spans="1:8" ht="17.2" customHeight="1" x14ac:dyDescent="0.3">
      <c r="A609" s="84"/>
      <c r="B609" s="85"/>
      <c r="E609" s="46"/>
      <c r="F609" s="47"/>
      <c r="G609" s="48"/>
      <c r="H609" s="73"/>
    </row>
    <row r="610" spans="1:8" ht="17.2" customHeight="1" x14ac:dyDescent="0.3">
      <c r="A610" s="86" t="s">
        <v>67</v>
      </c>
      <c r="B610" s="50" t="s">
        <v>68</v>
      </c>
      <c r="E610" s="49" t="s">
        <v>27</v>
      </c>
      <c r="F610" s="50"/>
      <c r="G610" s="50"/>
      <c r="H610" s="87"/>
    </row>
    <row r="611" spans="1:8" ht="17.2" customHeight="1" x14ac:dyDescent="0.3">
      <c r="A611" s="88" t="s">
        <v>28</v>
      </c>
      <c r="B611" s="50"/>
      <c r="E611" s="50" t="str">
        <f ca="1">+$E$52</f>
        <v>SECRETARIO DE PLANEACION Y OBRAS PUBLICAS</v>
      </c>
      <c r="F611" s="50"/>
      <c r="G611" s="50"/>
      <c r="H611" s="87"/>
    </row>
    <row r="612" spans="1:8" ht="18.2" customHeight="1" x14ac:dyDescent="0.3">
      <c r="A612" s="89"/>
      <c r="B612" s="90"/>
      <c r="C612" s="85"/>
      <c r="D612" s="85"/>
      <c r="E612" s="90" t="str">
        <f ca="1">+$E$53</f>
        <v>SAN MIGUEL - PUTUMAYO</v>
      </c>
      <c r="F612" s="90"/>
      <c r="G612" s="90"/>
      <c r="H612" s="91"/>
    </row>
    <row r="613" spans="1:8" ht="17.2" customHeight="1" x14ac:dyDescent="0.3">
      <c r="A613" s="556"/>
      <c r="B613" s="557"/>
      <c r="C613" s="380" t="s">
        <v>2</v>
      </c>
      <c r="D613" s="382" t="s">
        <v>3</v>
      </c>
      <c r="E613" s="383"/>
      <c r="F613" s="1">
        <v>103</v>
      </c>
      <c r="G613" s="548"/>
      <c r="H613" s="549"/>
    </row>
    <row r="614" spans="1:8" ht="17.2" customHeight="1" x14ac:dyDescent="0.3">
      <c r="A614" s="558"/>
      <c r="B614" s="559"/>
      <c r="C614" s="381"/>
      <c r="D614" s="396" t="s">
        <v>4</v>
      </c>
      <c r="E614" s="397"/>
      <c r="F614" s="400">
        <v>51</v>
      </c>
      <c r="G614" s="550"/>
      <c r="H614" s="551"/>
    </row>
    <row r="615" spans="1:8" ht="17.2" customHeight="1" x14ac:dyDescent="0.3">
      <c r="A615" s="558"/>
      <c r="B615" s="559"/>
      <c r="C615" s="5" t="s">
        <v>5</v>
      </c>
      <c r="D615" s="398"/>
      <c r="E615" s="399"/>
      <c r="F615" s="401"/>
      <c r="G615" s="550"/>
      <c r="H615" s="551"/>
    </row>
    <row r="616" spans="1:8" ht="26.85" customHeight="1" x14ac:dyDescent="0.3">
      <c r="A616" s="558"/>
      <c r="B616" s="559"/>
      <c r="C616" s="55" t="s">
        <v>6</v>
      </c>
      <c r="D616" s="402" t="s">
        <v>7</v>
      </c>
      <c r="E616" s="403"/>
      <c r="F616" s="7">
        <v>1</v>
      </c>
      <c r="G616" s="550"/>
      <c r="H616" s="551"/>
    </row>
    <row r="617" spans="1:8" ht="17.2" customHeight="1" x14ac:dyDescent="0.3">
      <c r="A617" s="558"/>
      <c r="B617" s="559"/>
      <c r="C617" s="530" t="s">
        <v>8</v>
      </c>
      <c r="D617" s="532" t="s">
        <v>9</v>
      </c>
      <c r="E617" s="533"/>
      <c r="F617" s="5" t="s">
        <v>10</v>
      </c>
      <c r="G617" s="550"/>
      <c r="H617" s="551"/>
    </row>
    <row r="618" spans="1:8" ht="17.2" customHeight="1" x14ac:dyDescent="0.3">
      <c r="A618" s="560"/>
      <c r="B618" s="561"/>
      <c r="C618" s="531"/>
      <c r="D618" s="534"/>
      <c r="E618" s="535"/>
      <c r="F618" s="8">
        <f>$F$6</f>
        <v>45402</v>
      </c>
      <c r="G618" s="552"/>
      <c r="H618" s="553"/>
    </row>
    <row r="619" spans="1:8" ht="17.2" customHeight="1" thickBot="1" x14ac:dyDescent="0.35">
      <c r="A619" s="536"/>
      <c r="B619" s="537"/>
      <c r="C619" s="537"/>
      <c r="D619" s="537"/>
      <c r="E619" s="537"/>
      <c r="F619" s="537"/>
      <c r="G619" s="537"/>
      <c r="H619" s="538"/>
    </row>
    <row r="620" spans="1:8" ht="28.15" customHeight="1" thickBot="1" x14ac:dyDescent="0.35">
      <c r="A620" s="92">
        <v>3.3</v>
      </c>
      <c r="B620" s="539" t="str">
        <f>VLOOKUP(A620,PRESUPUESTO!$A$14:$G$71,2,)</f>
        <v>Columnetas de confinamiento de (12x20cm) en concreto  de 3000 PSI</v>
      </c>
      <c r="C620" s="540"/>
      <c r="D620" s="540"/>
      <c r="E620" s="540"/>
      <c r="F620" s="541"/>
      <c r="G620" s="57" t="s">
        <v>31</v>
      </c>
      <c r="H620" s="58" t="str">
        <f>VLOOKUP(A620,PRESUPUESTO!$A$14:$G$71,4,)</f>
        <v>ML</v>
      </c>
    </row>
    <row r="621" spans="1:8" ht="17.2" customHeight="1" x14ac:dyDescent="0.3">
      <c r="A621" s="59"/>
      <c r="H621" s="60"/>
    </row>
    <row r="622" spans="1:8" ht="17.2" customHeight="1" x14ac:dyDescent="0.3">
      <c r="A622" s="61" t="s">
        <v>32</v>
      </c>
      <c r="B622" s="525" t="s">
        <v>33</v>
      </c>
      <c r="C622" s="526"/>
      <c r="D622" s="526"/>
      <c r="E622" s="526"/>
      <c r="F622" s="526"/>
      <c r="G622" s="527"/>
      <c r="H622" s="60"/>
    </row>
    <row r="623" spans="1:8" ht="17.2" customHeight="1" x14ac:dyDescent="0.3">
      <c r="A623" s="62"/>
      <c r="B623" s="518" t="s">
        <v>34</v>
      </c>
      <c r="C623" s="519"/>
      <c r="D623" s="62" t="s">
        <v>35</v>
      </c>
      <c r="E623" s="62" t="s">
        <v>69</v>
      </c>
      <c r="F623" s="62" t="s">
        <v>70</v>
      </c>
      <c r="G623" s="62" t="s">
        <v>38</v>
      </c>
      <c r="H623" s="60"/>
    </row>
    <row r="624" spans="1:8" ht="17.2" customHeight="1" x14ac:dyDescent="0.3">
      <c r="A624" s="63"/>
      <c r="B624" s="542" t="s">
        <v>39</v>
      </c>
      <c r="C624" s="543"/>
      <c r="D624" s="63"/>
      <c r="E624" s="64"/>
      <c r="F624" s="64">
        <v>0.1</v>
      </c>
      <c r="G624" s="65">
        <f>ROUND(H641*F624,2)</f>
        <v>5620.67</v>
      </c>
      <c r="H624" s="66"/>
    </row>
    <row r="625" spans="1:8" ht="17.2" customHeight="1" x14ac:dyDescent="0.3">
      <c r="A625" s="63"/>
      <c r="B625" s="542" t="s">
        <v>187</v>
      </c>
      <c r="C625" s="543"/>
      <c r="D625" s="62" t="s">
        <v>81</v>
      </c>
      <c r="E625" s="273">
        <v>100000</v>
      </c>
      <c r="F625" s="64">
        <v>0.02</v>
      </c>
      <c r="G625" s="274">
        <f>E625*F625</f>
        <v>2000</v>
      </c>
      <c r="H625" s="66"/>
    </row>
    <row r="626" spans="1:8" ht="17.2" customHeight="1" x14ac:dyDescent="0.3">
      <c r="A626" s="70"/>
      <c r="E626" s="71" t="s">
        <v>40</v>
      </c>
      <c r="F626" s="71"/>
      <c r="G626" s="71"/>
      <c r="H626" s="72">
        <f>ROUND(SUM(G624:G625),2)</f>
        <v>7620.67</v>
      </c>
    </row>
    <row r="627" spans="1:8" ht="17.2" customHeight="1" x14ac:dyDescent="0.3">
      <c r="A627" s="61" t="s">
        <v>41</v>
      </c>
      <c r="B627" s="525" t="s">
        <v>42</v>
      </c>
      <c r="C627" s="526"/>
      <c r="D627" s="526"/>
      <c r="E627" s="526"/>
      <c r="F627" s="526"/>
      <c r="G627" s="527"/>
      <c r="H627" s="73"/>
    </row>
    <row r="628" spans="1:8" ht="17.2" customHeight="1" x14ac:dyDescent="0.3">
      <c r="A628" s="62"/>
      <c r="B628" s="518" t="s">
        <v>34</v>
      </c>
      <c r="C628" s="519"/>
      <c r="D628" s="62" t="s">
        <v>43</v>
      </c>
      <c r="E628" s="74" t="s">
        <v>44</v>
      </c>
      <c r="F628" s="74" t="s">
        <v>45</v>
      </c>
      <c r="G628" s="74" t="s">
        <v>38</v>
      </c>
      <c r="H628" s="73"/>
    </row>
    <row r="629" spans="1:8" ht="16.850000000000001" customHeight="1" x14ac:dyDescent="0.3">
      <c r="A629" s="63"/>
      <c r="B629" s="554" t="s">
        <v>181</v>
      </c>
      <c r="C629" s="555"/>
      <c r="D629" s="93" t="s">
        <v>180</v>
      </c>
      <c r="E629" s="94">
        <f>350*0.024</f>
        <v>8.4</v>
      </c>
      <c r="F629" s="272">
        <v>800</v>
      </c>
      <c r="G629" s="120">
        <f>ROUND(E629*F629,2)</f>
        <v>6720</v>
      </c>
      <c r="H629" s="73"/>
    </row>
    <row r="630" spans="1:8" ht="17.2" customHeight="1" x14ac:dyDescent="0.3">
      <c r="A630" s="63"/>
      <c r="B630" s="523" t="s">
        <v>182</v>
      </c>
      <c r="C630" s="524"/>
      <c r="D630" s="93" t="s">
        <v>0</v>
      </c>
      <c r="E630" s="94">
        <f>0.555*0.024</f>
        <v>1.3320000000000002E-2</v>
      </c>
      <c r="F630" s="272">
        <v>70000</v>
      </c>
      <c r="G630" s="67">
        <f t="shared" ref="G630:G631" si="2">ROUND(E630*F630,2)</f>
        <v>932.4</v>
      </c>
      <c r="H630" s="73"/>
    </row>
    <row r="631" spans="1:8" ht="17.2" customHeight="1" x14ac:dyDescent="0.3">
      <c r="A631" s="63"/>
      <c r="B631" s="523" t="s">
        <v>183</v>
      </c>
      <c r="C631" s="524"/>
      <c r="D631" s="93" t="s">
        <v>0</v>
      </c>
      <c r="E631" s="94">
        <f>0.835*0.024</f>
        <v>2.0039999999999999E-2</v>
      </c>
      <c r="F631" s="272">
        <v>130000</v>
      </c>
      <c r="G631" s="67">
        <f t="shared" si="2"/>
        <v>2605.1999999999998</v>
      </c>
      <c r="H631" s="73"/>
    </row>
    <row r="632" spans="1:8" ht="17.2" customHeight="1" x14ac:dyDescent="0.3">
      <c r="A632" s="63"/>
      <c r="B632" s="523" t="s">
        <v>184</v>
      </c>
      <c r="C632" s="524"/>
      <c r="D632" s="93" t="s">
        <v>185</v>
      </c>
      <c r="E632" s="94">
        <f>170*0.024</f>
        <v>4.08</v>
      </c>
      <c r="F632" s="272">
        <v>40</v>
      </c>
      <c r="G632" s="67">
        <f>E632*F632</f>
        <v>163.19999999999999</v>
      </c>
      <c r="H632" s="73"/>
    </row>
    <row r="633" spans="1:8" ht="17.2" customHeight="1" x14ac:dyDescent="0.3">
      <c r="A633" s="63"/>
      <c r="B633" s="523"/>
      <c r="C633" s="524"/>
      <c r="D633" s="93"/>
      <c r="E633" s="94"/>
      <c r="F633" s="95"/>
      <c r="G633" s="67">
        <f>E633*F633</f>
        <v>0</v>
      </c>
      <c r="H633" s="73"/>
    </row>
    <row r="634" spans="1:8" ht="17.2" customHeight="1" x14ac:dyDescent="0.3">
      <c r="A634" s="63"/>
      <c r="B634" s="523"/>
      <c r="C634" s="524"/>
      <c r="D634" s="93"/>
      <c r="E634" s="94"/>
      <c r="F634" s="95"/>
      <c r="G634" s="67"/>
      <c r="H634" s="73"/>
    </row>
    <row r="635" spans="1:8" ht="17.2" customHeight="1" x14ac:dyDescent="0.3">
      <c r="A635" s="70" t="s">
        <v>46</v>
      </c>
      <c r="E635" s="71" t="s">
        <v>47</v>
      </c>
      <c r="F635" s="71"/>
      <c r="G635" s="71"/>
      <c r="H635" s="76">
        <f>ROUND(SUM(G629:G634),2)</f>
        <v>10420.799999999999</v>
      </c>
    </row>
    <row r="636" spans="1:8" ht="17.2" customHeight="1" x14ac:dyDescent="0.3">
      <c r="A636" s="61" t="s">
        <v>48</v>
      </c>
      <c r="B636" s="525" t="s">
        <v>49</v>
      </c>
      <c r="C636" s="526"/>
      <c r="D636" s="526"/>
      <c r="E636" s="526"/>
      <c r="F636" s="526"/>
      <c r="G636" s="527"/>
      <c r="H636" s="73"/>
    </row>
    <row r="637" spans="1:8" ht="17.2" customHeight="1" x14ac:dyDescent="0.3">
      <c r="A637" s="62" t="s">
        <v>50</v>
      </c>
      <c r="B637" s="62" t="s">
        <v>34</v>
      </c>
      <c r="C637" s="62" t="s">
        <v>51</v>
      </c>
      <c r="D637" s="62" t="s">
        <v>52</v>
      </c>
      <c r="E637" s="74" t="s">
        <v>53</v>
      </c>
      <c r="F637" s="64" t="s">
        <v>238</v>
      </c>
      <c r="G637" s="64" t="s">
        <v>38</v>
      </c>
      <c r="H637" s="73"/>
    </row>
    <row r="638" spans="1:8" ht="17.2" customHeight="1" x14ac:dyDescent="0.3">
      <c r="A638" s="62">
        <v>1</v>
      </c>
      <c r="B638" s="63" t="s">
        <v>79</v>
      </c>
      <c r="C638" s="77">
        <v>120000</v>
      </c>
      <c r="D638" s="78">
        <v>0.75</v>
      </c>
      <c r="E638" s="79">
        <f>+(A638*C638)+(A638*C638*D638)</f>
        <v>210000</v>
      </c>
      <c r="F638" s="75">
        <v>8.2089999999999996</v>
      </c>
      <c r="G638" s="65">
        <f>ROUND(E638/(F638),2)</f>
        <v>25581.68</v>
      </c>
      <c r="H638" s="73"/>
    </row>
    <row r="639" spans="1:8" ht="17.2" customHeight="1" x14ac:dyDescent="0.3">
      <c r="A639" s="62">
        <v>2</v>
      </c>
      <c r="B639" s="63" t="s">
        <v>80</v>
      </c>
      <c r="C639" s="77">
        <v>70000</v>
      </c>
      <c r="D639" s="78">
        <v>0.75</v>
      </c>
      <c r="E639" s="79">
        <f>+(A639*C639)+(A639*C639*D639)</f>
        <v>245000</v>
      </c>
      <c r="F639" s="75">
        <v>8</v>
      </c>
      <c r="G639" s="65">
        <f>ROUND(E639/(F639),2)</f>
        <v>30625</v>
      </c>
      <c r="H639" s="73"/>
    </row>
    <row r="640" spans="1:8" ht="17.2" customHeight="1" x14ac:dyDescent="0.3">
      <c r="A640" s="63"/>
      <c r="B640" s="63"/>
      <c r="C640" s="63"/>
      <c r="D640" s="63"/>
      <c r="E640" s="64"/>
      <c r="F640" s="64"/>
      <c r="G640" s="64"/>
      <c r="H640" s="73"/>
    </row>
    <row r="641" spans="1:8" ht="17.2" customHeight="1" x14ac:dyDescent="0.3">
      <c r="A641" s="70"/>
      <c r="E641" s="71" t="s">
        <v>54</v>
      </c>
      <c r="F641" s="71"/>
      <c r="G641" s="71"/>
      <c r="H641" s="72">
        <f>ROUND(SUM(G638)+(G639),2)</f>
        <v>56206.68</v>
      </c>
    </row>
    <row r="642" spans="1:8" ht="17.2" customHeight="1" x14ac:dyDescent="0.3">
      <c r="A642" s="61" t="s">
        <v>55</v>
      </c>
      <c r="B642" s="525" t="s">
        <v>56</v>
      </c>
      <c r="C642" s="526"/>
      <c r="D642" s="526"/>
      <c r="E642" s="526"/>
      <c r="F642" s="526"/>
      <c r="G642" s="527"/>
      <c r="H642" s="73"/>
    </row>
    <row r="643" spans="1:8" ht="17.2" customHeight="1" x14ac:dyDescent="0.3">
      <c r="A643" s="63"/>
      <c r="B643" s="63" t="s">
        <v>34</v>
      </c>
      <c r="C643" s="62" t="s">
        <v>43</v>
      </c>
      <c r="D643" s="62" t="s">
        <v>57</v>
      </c>
      <c r="E643" s="62" t="s">
        <v>58</v>
      </c>
      <c r="F643" s="62"/>
      <c r="G643" s="64" t="s">
        <v>59</v>
      </c>
      <c r="H643" s="73"/>
    </row>
    <row r="644" spans="1:8" ht="17.2" customHeight="1" x14ac:dyDescent="0.3">
      <c r="A644" s="63"/>
      <c r="B644" s="63" t="s">
        <v>82</v>
      </c>
      <c r="C644" s="80" t="s">
        <v>83</v>
      </c>
      <c r="D644" s="63">
        <v>5.0000000000000001E-3</v>
      </c>
      <c r="E644" s="64">
        <f>3000000/15</f>
        <v>200000</v>
      </c>
      <c r="F644" s="64"/>
      <c r="G644" s="64">
        <f>D644*E644</f>
        <v>1000</v>
      </c>
      <c r="H644" s="73"/>
    </row>
    <row r="645" spans="1:8" ht="17.2" customHeight="1" x14ac:dyDescent="0.3">
      <c r="A645" s="63"/>
      <c r="B645" s="63"/>
      <c r="C645" s="81"/>
      <c r="D645" s="63"/>
      <c r="E645" s="64"/>
      <c r="F645" s="64"/>
      <c r="G645" s="64"/>
      <c r="H645" s="73"/>
    </row>
    <row r="646" spans="1:8" ht="17.2" customHeight="1" x14ac:dyDescent="0.3">
      <c r="A646" s="63"/>
      <c r="B646" s="63"/>
      <c r="C646" s="63"/>
      <c r="D646" s="63"/>
      <c r="E646" s="64"/>
      <c r="F646" s="64"/>
      <c r="G646" s="64"/>
      <c r="H646" s="73"/>
    </row>
    <row r="647" spans="1:8" ht="17.2" customHeight="1" x14ac:dyDescent="0.3">
      <c r="A647" s="70"/>
      <c r="E647" s="71" t="s">
        <v>54</v>
      </c>
      <c r="F647" s="71"/>
      <c r="G647" s="71"/>
      <c r="H647" s="119">
        <f>ROUND(SUM(G644)+(G645),0)</f>
        <v>1000</v>
      </c>
    </row>
    <row r="648" spans="1:8" ht="17.2" customHeight="1" x14ac:dyDescent="0.3">
      <c r="A648" s="59"/>
      <c r="E648" s="71"/>
      <c r="F648" s="71"/>
      <c r="G648" s="71"/>
      <c r="H648" s="73"/>
    </row>
    <row r="649" spans="1:8" ht="17.2" customHeight="1" x14ac:dyDescent="0.3">
      <c r="A649" s="59"/>
      <c r="D649" s="82" t="s">
        <v>60</v>
      </c>
      <c r="E649" s="83"/>
      <c r="F649" s="83"/>
      <c r="G649" s="83"/>
      <c r="H649" s="72">
        <f>ROUND(SUM(H626:H648),2)</f>
        <v>75248.149999999994</v>
      </c>
    </row>
    <row r="650" spans="1:8" ht="17.2" customHeight="1" x14ac:dyDescent="0.3">
      <c r="A650" s="59"/>
      <c r="E650" s="71"/>
      <c r="F650" s="71"/>
      <c r="G650" s="71"/>
      <c r="H650" s="73"/>
    </row>
    <row r="651" spans="1:8" ht="17.2" customHeight="1" x14ac:dyDescent="0.3">
      <c r="A651" s="61" t="s">
        <v>61</v>
      </c>
      <c r="B651" s="525" t="s">
        <v>62</v>
      </c>
      <c r="C651" s="526"/>
      <c r="D651" s="526"/>
      <c r="E651" s="526"/>
      <c r="F651" s="526"/>
      <c r="G651" s="527"/>
      <c r="H651" s="73"/>
    </row>
    <row r="652" spans="1:8" ht="17.2" customHeight="1" x14ac:dyDescent="0.3">
      <c r="A652" s="62"/>
      <c r="B652" s="518" t="s">
        <v>34</v>
      </c>
      <c r="C652" s="519"/>
      <c r="D652" s="518" t="s">
        <v>63</v>
      </c>
      <c r="E652" s="519"/>
      <c r="F652" s="528" t="s">
        <v>64</v>
      </c>
      <c r="G652" s="529"/>
      <c r="H652" s="73"/>
    </row>
    <row r="653" spans="1:8" ht="17.2" customHeight="1" x14ac:dyDescent="0.3">
      <c r="A653" s="63"/>
      <c r="B653" s="518" t="s">
        <v>20</v>
      </c>
      <c r="C653" s="519"/>
      <c r="D653" s="520">
        <v>0.28000000000000003</v>
      </c>
      <c r="E653" s="519"/>
      <c r="F653" s="521">
        <f>+H649*D653</f>
        <v>21069.482</v>
      </c>
      <c r="G653" s="522"/>
      <c r="H653" s="73"/>
    </row>
    <row r="654" spans="1:8" ht="17.2" customHeight="1" x14ac:dyDescent="0.3">
      <c r="A654" s="63"/>
      <c r="B654" s="518" t="s">
        <v>21</v>
      </c>
      <c r="C654" s="519"/>
      <c r="D654" s="520">
        <v>0.01</v>
      </c>
      <c r="E654" s="519"/>
      <c r="F654" s="521">
        <f>+H649*D654</f>
        <v>752.48149999999998</v>
      </c>
      <c r="G654" s="522"/>
      <c r="H654" s="73"/>
    </row>
    <row r="655" spans="1:8" ht="17.2" customHeight="1" x14ac:dyDescent="0.3">
      <c r="A655" s="63"/>
      <c r="B655" s="518" t="s">
        <v>22</v>
      </c>
      <c r="C655" s="519"/>
      <c r="D655" s="520">
        <v>0.03</v>
      </c>
      <c r="E655" s="519"/>
      <c r="F655" s="521">
        <f>+H649*D655</f>
        <v>2257.4444999999996</v>
      </c>
      <c r="G655" s="522"/>
      <c r="H655" s="73"/>
    </row>
    <row r="656" spans="1:8" ht="17.2" customHeight="1" x14ac:dyDescent="0.3">
      <c r="A656" s="63"/>
      <c r="B656" s="518" t="s">
        <v>188</v>
      </c>
      <c r="C656" s="519"/>
      <c r="D656" s="520">
        <v>0.19</v>
      </c>
      <c r="E656" s="519"/>
      <c r="F656" s="521">
        <f>D656*F655</f>
        <v>428.91445499999992</v>
      </c>
      <c r="G656" s="522"/>
      <c r="H656" s="73"/>
    </row>
    <row r="657" spans="1:8" ht="17.2" customHeight="1" x14ac:dyDescent="0.3">
      <c r="A657" s="59"/>
      <c r="D657" s="82" t="s">
        <v>65</v>
      </c>
      <c r="E657" s="83"/>
      <c r="F657" s="83"/>
      <c r="G657" s="83"/>
      <c r="H657" s="72">
        <f>SUM(F653:G656)</f>
        <v>24508.322455000001</v>
      </c>
    </row>
    <row r="658" spans="1:8" ht="17.2" customHeight="1" x14ac:dyDescent="0.3">
      <c r="A658" s="59"/>
      <c r="E658" s="71"/>
      <c r="F658" s="71"/>
      <c r="G658" s="71"/>
      <c r="H658" s="73"/>
    </row>
    <row r="659" spans="1:8" ht="17.2" customHeight="1" x14ac:dyDescent="0.3">
      <c r="A659" s="59"/>
      <c r="D659" s="82" t="s">
        <v>66</v>
      </c>
      <c r="E659" s="83"/>
      <c r="F659" s="83"/>
      <c r="G659" s="71"/>
      <c r="H659" s="72">
        <f>H649+H657</f>
        <v>99756.472454999996</v>
      </c>
    </row>
    <row r="660" spans="1:8" ht="17.2" customHeight="1" x14ac:dyDescent="0.3">
      <c r="A660" s="59"/>
      <c r="D660" s="82"/>
      <c r="E660" s="83"/>
      <c r="F660" s="83"/>
      <c r="G660" s="71"/>
      <c r="H660" s="73"/>
    </row>
    <row r="661" spans="1:8" ht="17.2" customHeight="1" x14ac:dyDescent="0.3">
      <c r="A661" s="59"/>
      <c r="E661" s="83"/>
      <c r="F661" s="83"/>
      <c r="G661" s="71"/>
      <c r="H661" s="73"/>
    </row>
    <row r="662" spans="1:8" ht="17.2" customHeight="1" x14ac:dyDescent="0.3">
      <c r="A662" s="84"/>
      <c r="B662" s="85"/>
      <c r="E662" s="46"/>
      <c r="F662" s="47"/>
      <c r="G662" s="48"/>
      <c r="H662" s="73"/>
    </row>
    <row r="663" spans="1:8" ht="17.2" customHeight="1" x14ac:dyDescent="0.3">
      <c r="A663" s="86" t="s">
        <v>67</v>
      </c>
      <c r="B663" s="50" t="s">
        <v>68</v>
      </c>
      <c r="E663" s="49" t="s">
        <v>27</v>
      </c>
      <c r="F663" s="50"/>
      <c r="G663" s="50"/>
      <c r="H663" s="87"/>
    </row>
    <row r="664" spans="1:8" ht="17.2" customHeight="1" x14ac:dyDescent="0.3">
      <c r="A664" s="88" t="s">
        <v>28</v>
      </c>
      <c r="B664" s="50"/>
      <c r="E664" s="50" t="str">
        <f ca="1">+$E$52</f>
        <v>SECRETARIO DE PLANEACION Y OBRAS PUBLICAS</v>
      </c>
      <c r="F664" s="50"/>
      <c r="G664" s="50"/>
      <c r="H664" s="87"/>
    </row>
    <row r="665" spans="1:8" ht="18.2" customHeight="1" x14ac:dyDescent="0.3">
      <c r="A665" s="89"/>
      <c r="B665" s="90"/>
      <c r="C665" s="85"/>
      <c r="D665" s="85"/>
      <c r="E665" s="90" t="str">
        <f ca="1">+$E$53</f>
        <v>SAN MIGUEL - PUTUMAYO</v>
      </c>
      <c r="F665" s="90"/>
      <c r="G665" s="90"/>
      <c r="H665" s="91"/>
    </row>
    <row r="666" spans="1:8" ht="17.2" customHeight="1" x14ac:dyDescent="0.3">
      <c r="A666" s="556"/>
      <c r="B666" s="557"/>
      <c r="C666" s="380" t="s">
        <v>2</v>
      </c>
      <c r="D666" s="382" t="s">
        <v>3</v>
      </c>
      <c r="E666" s="383"/>
      <c r="F666" s="1">
        <v>103</v>
      </c>
      <c r="G666" s="548"/>
      <c r="H666" s="549"/>
    </row>
    <row r="667" spans="1:8" ht="17.2" customHeight="1" x14ac:dyDescent="0.3">
      <c r="A667" s="558"/>
      <c r="B667" s="559"/>
      <c r="C667" s="381"/>
      <c r="D667" s="396" t="s">
        <v>4</v>
      </c>
      <c r="E667" s="397"/>
      <c r="F667" s="400">
        <v>51</v>
      </c>
      <c r="G667" s="550"/>
      <c r="H667" s="551"/>
    </row>
    <row r="668" spans="1:8" ht="17.2" customHeight="1" x14ac:dyDescent="0.3">
      <c r="A668" s="558"/>
      <c r="B668" s="559"/>
      <c r="C668" s="5" t="s">
        <v>5</v>
      </c>
      <c r="D668" s="398"/>
      <c r="E668" s="399"/>
      <c r="F668" s="401"/>
      <c r="G668" s="550"/>
      <c r="H668" s="551"/>
    </row>
    <row r="669" spans="1:8" ht="26.85" customHeight="1" x14ac:dyDescent="0.3">
      <c r="A669" s="558"/>
      <c r="B669" s="559"/>
      <c r="C669" s="55" t="s">
        <v>6</v>
      </c>
      <c r="D669" s="402" t="s">
        <v>7</v>
      </c>
      <c r="E669" s="403"/>
      <c r="F669" s="7">
        <v>1</v>
      </c>
      <c r="G669" s="550"/>
      <c r="H669" s="551"/>
    </row>
    <row r="670" spans="1:8" ht="17.2" customHeight="1" x14ac:dyDescent="0.3">
      <c r="A670" s="558"/>
      <c r="B670" s="559"/>
      <c r="C670" s="530" t="s">
        <v>8</v>
      </c>
      <c r="D670" s="532" t="s">
        <v>9</v>
      </c>
      <c r="E670" s="533"/>
      <c r="F670" s="5" t="s">
        <v>10</v>
      </c>
      <c r="G670" s="550"/>
      <c r="H670" s="551"/>
    </row>
    <row r="671" spans="1:8" ht="17.2" customHeight="1" x14ac:dyDescent="0.3">
      <c r="A671" s="560"/>
      <c r="B671" s="561"/>
      <c r="C671" s="531"/>
      <c r="D671" s="534"/>
      <c r="E671" s="535"/>
      <c r="F671" s="8">
        <f>$F$6</f>
        <v>45402</v>
      </c>
      <c r="G671" s="552"/>
      <c r="H671" s="553"/>
    </row>
    <row r="672" spans="1:8" ht="17.2" customHeight="1" thickBot="1" x14ac:dyDescent="0.35">
      <c r="A672" s="536"/>
      <c r="B672" s="537"/>
      <c r="C672" s="537"/>
      <c r="D672" s="537"/>
      <c r="E672" s="537"/>
      <c r="F672" s="537"/>
      <c r="G672" s="537"/>
      <c r="H672" s="538"/>
    </row>
    <row r="673" spans="1:8" ht="28.15" customHeight="1" thickBot="1" x14ac:dyDescent="0.35">
      <c r="A673" s="92">
        <v>3.4</v>
      </c>
      <c r="B673" s="539" t="str">
        <f>VLOOKUP(A673,PRESUPUESTO!$A$14:$G$71,2,)</f>
        <v xml:space="preserve">Acero de refuerzo Fy= 420 mpa </v>
      </c>
      <c r="C673" s="540"/>
      <c r="D673" s="540"/>
      <c r="E673" s="540"/>
      <c r="F673" s="541"/>
      <c r="G673" s="57" t="s">
        <v>31</v>
      </c>
      <c r="H673" s="58" t="str">
        <f>VLOOKUP(A673,PRESUPUESTO!$A$14:$G$71,4,)</f>
        <v>KG</v>
      </c>
    </row>
    <row r="674" spans="1:8" ht="17.2" customHeight="1" x14ac:dyDescent="0.3">
      <c r="A674" s="59"/>
      <c r="H674" s="60"/>
    </row>
    <row r="675" spans="1:8" ht="17.2" customHeight="1" x14ac:dyDescent="0.3">
      <c r="A675" s="61" t="s">
        <v>32</v>
      </c>
      <c r="B675" s="525" t="s">
        <v>33</v>
      </c>
      <c r="C675" s="526"/>
      <c r="D675" s="526"/>
      <c r="E675" s="526"/>
      <c r="F675" s="526"/>
      <c r="G675" s="527"/>
      <c r="H675" s="60"/>
    </row>
    <row r="676" spans="1:8" ht="17.2" customHeight="1" x14ac:dyDescent="0.3">
      <c r="A676" s="62"/>
      <c r="B676" s="518" t="s">
        <v>34</v>
      </c>
      <c r="C676" s="519"/>
      <c r="D676" s="62" t="s">
        <v>35</v>
      </c>
      <c r="E676" s="62" t="s">
        <v>69</v>
      </c>
      <c r="F676" s="62" t="s">
        <v>70</v>
      </c>
      <c r="G676" s="62" t="s">
        <v>38</v>
      </c>
      <c r="H676" s="60"/>
    </row>
    <row r="677" spans="1:8" ht="17.2" customHeight="1" x14ac:dyDescent="0.3">
      <c r="A677" s="63"/>
      <c r="B677" s="542" t="s">
        <v>39</v>
      </c>
      <c r="C677" s="543"/>
      <c r="D677" s="63"/>
      <c r="E677" s="64"/>
      <c r="F677" s="64">
        <v>0.1</v>
      </c>
      <c r="G677" s="65">
        <f>ROUND(H694*F677,2)</f>
        <v>303.33</v>
      </c>
      <c r="H677" s="66"/>
    </row>
    <row r="678" spans="1:8" ht="17.2" customHeight="1" x14ac:dyDescent="0.3">
      <c r="A678" s="63"/>
      <c r="B678" s="542"/>
      <c r="C678" s="543"/>
      <c r="D678" s="62"/>
      <c r="E678" s="68"/>
      <c r="F678" s="64"/>
      <c r="G678" s="69"/>
      <c r="H678" s="66"/>
    </row>
    <row r="679" spans="1:8" ht="17.2" customHeight="1" x14ac:dyDescent="0.3">
      <c r="A679" s="70"/>
      <c r="E679" s="71" t="s">
        <v>40</v>
      </c>
      <c r="F679" s="71"/>
      <c r="G679" s="71"/>
      <c r="H679" s="72">
        <f>ROUND(SUM(G677:G678),2)</f>
        <v>303.33</v>
      </c>
    </row>
    <row r="680" spans="1:8" ht="17.2" customHeight="1" x14ac:dyDescent="0.3">
      <c r="A680" s="61" t="s">
        <v>41</v>
      </c>
      <c r="B680" s="525" t="s">
        <v>42</v>
      </c>
      <c r="C680" s="526"/>
      <c r="D680" s="526"/>
      <c r="E680" s="526"/>
      <c r="F680" s="526"/>
      <c r="G680" s="527"/>
      <c r="H680" s="73"/>
    </row>
    <row r="681" spans="1:8" ht="17.2" customHeight="1" x14ac:dyDescent="0.3">
      <c r="A681" s="62"/>
      <c r="B681" s="518" t="s">
        <v>34</v>
      </c>
      <c r="C681" s="519"/>
      <c r="D681" s="62" t="s">
        <v>43</v>
      </c>
      <c r="E681" s="74" t="s">
        <v>44</v>
      </c>
      <c r="F681" s="74" t="s">
        <v>45</v>
      </c>
      <c r="G681" s="74" t="s">
        <v>38</v>
      </c>
      <c r="H681" s="73"/>
    </row>
    <row r="682" spans="1:8" ht="16.850000000000001" customHeight="1" x14ac:dyDescent="0.3">
      <c r="A682" s="63"/>
      <c r="B682" s="544" t="s">
        <v>206</v>
      </c>
      <c r="C682" s="545"/>
      <c r="D682" s="270" t="s">
        <v>180</v>
      </c>
      <c r="E682" s="94">
        <v>1</v>
      </c>
      <c r="F682" s="95">
        <v>6000</v>
      </c>
      <c r="G682" s="120">
        <f>ROUND(E682*F682,2)</f>
        <v>6000</v>
      </c>
      <c r="H682" s="73"/>
    </row>
    <row r="683" spans="1:8" ht="17.2" customHeight="1" x14ac:dyDescent="0.3">
      <c r="A683" s="63"/>
      <c r="B683" s="546" t="s">
        <v>207</v>
      </c>
      <c r="C683" s="547"/>
      <c r="D683" s="270" t="s">
        <v>180</v>
      </c>
      <c r="E683" s="94">
        <v>0.2</v>
      </c>
      <c r="F683" s="95">
        <v>8500</v>
      </c>
      <c r="G683" s="67">
        <f t="shared" ref="G683" si="3">ROUND(E683*F683,2)</f>
        <v>1700</v>
      </c>
      <c r="H683" s="73"/>
    </row>
    <row r="684" spans="1:8" ht="17.2" customHeight="1" x14ac:dyDescent="0.3">
      <c r="A684" s="63"/>
      <c r="B684" s="523"/>
      <c r="C684" s="524"/>
      <c r="D684" s="93"/>
      <c r="E684" s="94"/>
      <c r="F684" s="95"/>
      <c r="G684" s="67"/>
      <c r="H684" s="73"/>
    </row>
    <row r="685" spans="1:8" ht="17.2" customHeight="1" x14ac:dyDescent="0.3">
      <c r="A685" s="63"/>
      <c r="B685" s="523"/>
      <c r="C685" s="524"/>
      <c r="D685" s="93"/>
      <c r="E685" s="94"/>
      <c r="F685" s="95"/>
      <c r="G685" s="67"/>
      <c r="H685" s="73"/>
    </row>
    <row r="686" spans="1:8" ht="17.2" customHeight="1" x14ac:dyDescent="0.3">
      <c r="A686" s="63"/>
      <c r="B686" s="523"/>
      <c r="C686" s="524"/>
      <c r="D686" s="93"/>
      <c r="E686" s="94"/>
      <c r="F686" s="95"/>
      <c r="G686" s="67"/>
      <c r="H686" s="73"/>
    </row>
    <row r="687" spans="1:8" ht="17.2" customHeight="1" x14ac:dyDescent="0.3">
      <c r="A687" s="63"/>
      <c r="B687" s="523"/>
      <c r="C687" s="524"/>
      <c r="D687" s="93"/>
      <c r="E687" s="94"/>
      <c r="F687" s="95"/>
      <c r="G687" s="67"/>
      <c r="H687" s="73"/>
    </row>
    <row r="688" spans="1:8" ht="17.2" customHeight="1" x14ac:dyDescent="0.3">
      <c r="A688" s="70" t="s">
        <v>46</v>
      </c>
      <c r="E688" s="71" t="s">
        <v>47</v>
      </c>
      <c r="F688" s="71"/>
      <c r="G688" s="71"/>
      <c r="H688" s="76">
        <f>ROUND(SUM(G682:G687),2)</f>
        <v>7700</v>
      </c>
    </row>
    <row r="689" spans="1:8" ht="17.2" customHeight="1" x14ac:dyDescent="0.3">
      <c r="A689" s="61" t="s">
        <v>48</v>
      </c>
      <c r="B689" s="525" t="s">
        <v>49</v>
      </c>
      <c r="C689" s="526"/>
      <c r="D689" s="526"/>
      <c r="E689" s="526"/>
      <c r="F689" s="526"/>
      <c r="G689" s="527"/>
      <c r="H689" s="73"/>
    </row>
    <row r="690" spans="1:8" ht="17.2" customHeight="1" x14ac:dyDescent="0.3">
      <c r="A690" s="62" t="s">
        <v>50</v>
      </c>
      <c r="B690" s="62" t="s">
        <v>34</v>
      </c>
      <c r="C690" s="62" t="s">
        <v>51</v>
      </c>
      <c r="D690" s="62" t="s">
        <v>52</v>
      </c>
      <c r="E690" s="74" t="s">
        <v>53</v>
      </c>
      <c r="F690" s="64" t="s">
        <v>239</v>
      </c>
      <c r="G690" s="64" t="s">
        <v>38</v>
      </c>
      <c r="H690" s="73"/>
    </row>
    <row r="691" spans="1:8" ht="17.2" customHeight="1" x14ac:dyDescent="0.3">
      <c r="A691" s="62">
        <v>1</v>
      </c>
      <c r="B691" s="63" t="s">
        <v>79</v>
      </c>
      <c r="C691" s="77">
        <v>120000</v>
      </c>
      <c r="D691" s="78">
        <v>0.75</v>
      </c>
      <c r="E691" s="79">
        <f>+(A691*C691)+(A691*C691*D691)</f>
        <v>210000</v>
      </c>
      <c r="F691" s="75">
        <v>150</v>
      </c>
      <c r="G691" s="65">
        <f>ROUND(E691/(F691),2)</f>
        <v>1400</v>
      </c>
      <c r="H691" s="73"/>
    </row>
    <row r="692" spans="1:8" ht="17.2" customHeight="1" x14ac:dyDescent="0.3">
      <c r="A692" s="62">
        <v>2</v>
      </c>
      <c r="B692" s="63" t="s">
        <v>80</v>
      </c>
      <c r="C692" s="77">
        <v>70000</v>
      </c>
      <c r="D692" s="78">
        <v>0.75</v>
      </c>
      <c r="E692" s="79">
        <f>+(A692*C692)+(A692*C692*D692)</f>
        <v>245000</v>
      </c>
      <c r="F692" s="75">
        <v>150</v>
      </c>
      <c r="G692" s="65">
        <f>ROUND(E692/(F692),2)</f>
        <v>1633.33</v>
      </c>
      <c r="H692" s="73"/>
    </row>
    <row r="693" spans="1:8" ht="17.2" customHeight="1" x14ac:dyDescent="0.3">
      <c r="A693" s="63"/>
      <c r="B693" s="63"/>
      <c r="C693" s="63"/>
      <c r="D693" s="63"/>
      <c r="E693" s="64"/>
      <c r="F693" s="64"/>
      <c r="G693" s="64"/>
      <c r="H693" s="73"/>
    </row>
    <row r="694" spans="1:8" ht="17.2" customHeight="1" x14ac:dyDescent="0.3">
      <c r="A694" s="70"/>
      <c r="E694" s="71" t="s">
        <v>54</v>
      </c>
      <c r="F694" s="71"/>
      <c r="G694" s="71"/>
      <c r="H694" s="72">
        <f>ROUND(SUM(G691)+(G692),2)</f>
        <v>3033.33</v>
      </c>
    </row>
    <row r="695" spans="1:8" ht="17.2" customHeight="1" x14ac:dyDescent="0.3">
      <c r="A695" s="61" t="s">
        <v>55</v>
      </c>
      <c r="B695" s="525" t="s">
        <v>56</v>
      </c>
      <c r="C695" s="526"/>
      <c r="D695" s="526"/>
      <c r="E695" s="526"/>
      <c r="F695" s="526"/>
      <c r="G695" s="527"/>
      <c r="H695" s="73"/>
    </row>
    <row r="696" spans="1:8" ht="17.2" customHeight="1" x14ac:dyDescent="0.3">
      <c r="A696" s="63"/>
      <c r="B696" s="63" t="s">
        <v>34</v>
      </c>
      <c r="C696" s="62" t="s">
        <v>43</v>
      </c>
      <c r="D696" s="62" t="s">
        <v>57</v>
      </c>
      <c r="E696" s="62" t="s">
        <v>58</v>
      </c>
      <c r="F696" s="62"/>
      <c r="G696" s="64" t="s">
        <v>59</v>
      </c>
      <c r="H696" s="73"/>
    </row>
    <row r="697" spans="1:8" ht="17.2" customHeight="1" x14ac:dyDescent="0.3">
      <c r="A697" s="63"/>
      <c r="B697" s="63" t="s">
        <v>82</v>
      </c>
      <c r="C697" s="80" t="s">
        <v>83</v>
      </c>
      <c r="D697" s="63">
        <v>5.0000000000000001E-3</v>
      </c>
      <c r="E697" s="64">
        <f>3000000/15</f>
        <v>200000</v>
      </c>
      <c r="F697" s="64"/>
      <c r="G697" s="64">
        <f>D697*E697</f>
        <v>1000</v>
      </c>
      <c r="H697" s="73"/>
    </row>
    <row r="698" spans="1:8" ht="17.2" customHeight="1" x14ac:dyDescent="0.3">
      <c r="A698" s="63"/>
      <c r="B698" s="63"/>
      <c r="C698" s="81"/>
      <c r="D698" s="63"/>
      <c r="E698" s="64"/>
      <c r="F698" s="64"/>
      <c r="G698" s="64"/>
      <c r="H698" s="73"/>
    </row>
    <row r="699" spans="1:8" ht="17.2" customHeight="1" x14ac:dyDescent="0.3">
      <c r="A699" s="63"/>
      <c r="B699" s="63"/>
      <c r="C699" s="63"/>
      <c r="D699" s="63"/>
      <c r="E699" s="64"/>
      <c r="F699" s="64"/>
      <c r="G699" s="64"/>
      <c r="H699" s="73"/>
    </row>
    <row r="700" spans="1:8" ht="17.2" customHeight="1" x14ac:dyDescent="0.3">
      <c r="A700" s="70"/>
      <c r="E700" s="71" t="s">
        <v>54</v>
      </c>
      <c r="F700" s="71"/>
      <c r="G700" s="71"/>
      <c r="H700" s="119">
        <f>ROUND(SUM(G697)+(G698),0)</f>
        <v>1000</v>
      </c>
    </row>
    <row r="701" spans="1:8" ht="17.2" customHeight="1" x14ac:dyDescent="0.3">
      <c r="A701" s="59"/>
      <c r="E701" s="71"/>
      <c r="F701" s="71"/>
      <c r="G701" s="71"/>
      <c r="H701" s="73"/>
    </row>
    <row r="702" spans="1:8" ht="17.2" customHeight="1" x14ac:dyDescent="0.3">
      <c r="A702" s="59"/>
      <c r="D702" s="82" t="s">
        <v>60</v>
      </c>
      <c r="E702" s="83"/>
      <c r="F702" s="83"/>
      <c r="G702" s="83"/>
      <c r="H702" s="72">
        <f>ROUND(SUM(H679:H701),2)</f>
        <v>12036.66</v>
      </c>
    </row>
    <row r="703" spans="1:8" ht="17.2" customHeight="1" x14ac:dyDescent="0.3">
      <c r="A703" s="59"/>
      <c r="E703" s="71"/>
      <c r="F703" s="71"/>
      <c r="G703" s="71"/>
      <c r="H703" s="73"/>
    </row>
    <row r="704" spans="1:8" ht="17.2" customHeight="1" x14ac:dyDescent="0.3">
      <c r="A704" s="61" t="s">
        <v>61</v>
      </c>
      <c r="B704" s="525" t="s">
        <v>62</v>
      </c>
      <c r="C704" s="526"/>
      <c r="D704" s="526"/>
      <c r="E704" s="526"/>
      <c r="F704" s="526"/>
      <c r="G704" s="527"/>
      <c r="H704" s="73"/>
    </row>
    <row r="705" spans="1:8" ht="17.2" customHeight="1" x14ac:dyDescent="0.3">
      <c r="A705" s="62"/>
      <c r="B705" s="518" t="s">
        <v>34</v>
      </c>
      <c r="C705" s="519"/>
      <c r="D705" s="518" t="s">
        <v>63</v>
      </c>
      <c r="E705" s="519"/>
      <c r="F705" s="528" t="s">
        <v>64</v>
      </c>
      <c r="G705" s="529"/>
      <c r="H705" s="73"/>
    </row>
    <row r="706" spans="1:8" ht="17.2" customHeight="1" x14ac:dyDescent="0.3">
      <c r="A706" s="63"/>
      <c r="B706" s="518" t="s">
        <v>20</v>
      </c>
      <c r="C706" s="519"/>
      <c r="D706" s="520">
        <v>0.28000000000000003</v>
      </c>
      <c r="E706" s="519"/>
      <c r="F706" s="521">
        <f>+H702*D706</f>
        <v>3370.2648000000004</v>
      </c>
      <c r="G706" s="522"/>
      <c r="H706" s="73"/>
    </row>
    <row r="707" spans="1:8" ht="17.2" customHeight="1" x14ac:dyDescent="0.3">
      <c r="A707" s="63"/>
      <c r="B707" s="518" t="s">
        <v>21</v>
      </c>
      <c r="C707" s="519"/>
      <c r="D707" s="520">
        <v>0.01</v>
      </c>
      <c r="E707" s="519"/>
      <c r="F707" s="521">
        <f>+H702*D707</f>
        <v>120.36660000000001</v>
      </c>
      <c r="G707" s="522"/>
      <c r="H707" s="73"/>
    </row>
    <row r="708" spans="1:8" ht="17.2" customHeight="1" x14ac:dyDescent="0.3">
      <c r="A708" s="63"/>
      <c r="B708" s="518" t="s">
        <v>22</v>
      </c>
      <c r="C708" s="519"/>
      <c r="D708" s="520">
        <v>0.03</v>
      </c>
      <c r="E708" s="519"/>
      <c r="F708" s="521">
        <f>+H702*D708</f>
        <v>361.09979999999996</v>
      </c>
      <c r="G708" s="522"/>
      <c r="H708" s="73"/>
    </row>
    <row r="709" spans="1:8" ht="17.2" customHeight="1" x14ac:dyDescent="0.3">
      <c r="A709" s="63"/>
      <c r="B709" s="518" t="s">
        <v>188</v>
      </c>
      <c r="C709" s="519"/>
      <c r="D709" s="520">
        <v>0.19</v>
      </c>
      <c r="E709" s="519"/>
      <c r="F709" s="521">
        <f>D709*F708</f>
        <v>68.608961999999991</v>
      </c>
      <c r="G709" s="522"/>
      <c r="H709" s="73"/>
    </row>
    <row r="710" spans="1:8" ht="17.2" customHeight="1" x14ac:dyDescent="0.3">
      <c r="A710" s="59"/>
      <c r="D710" s="82" t="s">
        <v>65</v>
      </c>
      <c r="E710" s="83"/>
      <c r="F710" s="83"/>
      <c r="G710" s="83"/>
      <c r="H710" s="72">
        <f>SUM(F706:G709)</f>
        <v>3920.340162</v>
      </c>
    </row>
    <row r="711" spans="1:8" ht="17.2" customHeight="1" x14ac:dyDescent="0.3">
      <c r="A711" s="59"/>
      <c r="E711" s="71"/>
      <c r="F711" s="71"/>
      <c r="G711" s="71"/>
      <c r="H711" s="73"/>
    </row>
    <row r="712" spans="1:8" ht="17.2" customHeight="1" x14ac:dyDescent="0.3">
      <c r="A712" s="59"/>
      <c r="D712" s="82" t="s">
        <v>66</v>
      </c>
      <c r="E712" s="83"/>
      <c r="F712" s="83"/>
      <c r="G712" s="71"/>
      <c r="H712" s="72">
        <f>H702+H710</f>
        <v>15957.000162</v>
      </c>
    </row>
    <row r="713" spans="1:8" ht="17.2" customHeight="1" x14ac:dyDescent="0.3">
      <c r="A713" s="59"/>
      <c r="D713" s="82"/>
      <c r="E713" s="83"/>
      <c r="F713" s="83"/>
      <c r="G713" s="71"/>
      <c r="H713" s="73"/>
    </row>
    <row r="714" spans="1:8" ht="17.2" customHeight="1" x14ac:dyDescent="0.3">
      <c r="A714" s="59"/>
      <c r="E714" s="83"/>
      <c r="F714" s="83"/>
      <c r="G714" s="71"/>
      <c r="H714" s="73"/>
    </row>
    <row r="715" spans="1:8" ht="17.2" customHeight="1" x14ac:dyDescent="0.3">
      <c r="A715" s="84"/>
      <c r="B715" s="85"/>
      <c r="E715" s="46"/>
      <c r="F715" s="47"/>
      <c r="G715" s="48"/>
      <c r="H715" s="73"/>
    </row>
    <row r="716" spans="1:8" ht="17.2" customHeight="1" x14ac:dyDescent="0.3">
      <c r="A716" s="86" t="s">
        <v>67</v>
      </c>
      <c r="B716" s="50" t="s">
        <v>68</v>
      </c>
      <c r="E716" s="49" t="s">
        <v>27</v>
      </c>
      <c r="F716" s="50"/>
      <c r="G716" s="50"/>
      <c r="H716" s="87"/>
    </row>
    <row r="717" spans="1:8" ht="17.2" customHeight="1" x14ac:dyDescent="0.3">
      <c r="A717" s="88" t="s">
        <v>28</v>
      </c>
      <c r="B717" s="50"/>
      <c r="E717" s="50" t="str">
        <f ca="1">+$E$52</f>
        <v>SECRETARIO DE PLANEACION Y OBRAS PUBLICAS</v>
      </c>
      <c r="F717" s="50"/>
      <c r="G717" s="50"/>
      <c r="H717" s="87"/>
    </row>
    <row r="718" spans="1:8" ht="18.2" customHeight="1" x14ac:dyDescent="0.3">
      <c r="A718" s="89"/>
      <c r="B718" s="90"/>
      <c r="C718" s="85"/>
      <c r="D718" s="85"/>
      <c r="E718" s="90" t="str">
        <f ca="1">+$E$53</f>
        <v>SAN MIGUEL - PUTUMAYO</v>
      </c>
      <c r="F718" s="90"/>
      <c r="G718" s="90"/>
      <c r="H718" s="91"/>
    </row>
    <row r="719" spans="1:8" ht="17.2" customHeight="1" x14ac:dyDescent="0.3">
      <c r="A719" s="556"/>
      <c r="B719" s="557"/>
      <c r="C719" s="380" t="s">
        <v>2</v>
      </c>
      <c r="D719" s="382" t="s">
        <v>3</v>
      </c>
      <c r="E719" s="383"/>
      <c r="F719" s="1">
        <v>103</v>
      </c>
      <c r="G719" s="548"/>
      <c r="H719" s="549"/>
    </row>
    <row r="720" spans="1:8" ht="17.2" customHeight="1" x14ac:dyDescent="0.3">
      <c r="A720" s="558"/>
      <c r="B720" s="559"/>
      <c r="C720" s="381"/>
      <c r="D720" s="396" t="s">
        <v>4</v>
      </c>
      <c r="E720" s="397"/>
      <c r="F720" s="400">
        <v>51</v>
      </c>
      <c r="G720" s="550"/>
      <c r="H720" s="551"/>
    </row>
    <row r="721" spans="1:8" ht="17.2" customHeight="1" x14ac:dyDescent="0.3">
      <c r="A721" s="558"/>
      <c r="B721" s="559"/>
      <c r="C721" s="5" t="s">
        <v>5</v>
      </c>
      <c r="D721" s="398"/>
      <c r="E721" s="399"/>
      <c r="F721" s="401"/>
      <c r="G721" s="550"/>
      <c r="H721" s="551"/>
    </row>
    <row r="722" spans="1:8" ht="26.85" customHeight="1" x14ac:dyDescent="0.3">
      <c r="A722" s="558"/>
      <c r="B722" s="559"/>
      <c r="C722" s="55" t="s">
        <v>6</v>
      </c>
      <c r="D722" s="402" t="s">
        <v>7</v>
      </c>
      <c r="E722" s="403"/>
      <c r="F722" s="7">
        <v>1</v>
      </c>
      <c r="G722" s="550"/>
      <c r="H722" s="551"/>
    </row>
    <row r="723" spans="1:8" ht="17.2" customHeight="1" x14ac:dyDescent="0.3">
      <c r="A723" s="558"/>
      <c r="B723" s="559"/>
      <c r="C723" s="530" t="s">
        <v>8</v>
      </c>
      <c r="D723" s="532" t="s">
        <v>9</v>
      </c>
      <c r="E723" s="533"/>
      <c r="F723" s="5" t="s">
        <v>10</v>
      </c>
      <c r="G723" s="550"/>
      <c r="H723" s="551"/>
    </row>
    <row r="724" spans="1:8" ht="17.2" customHeight="1" x14ac:dyDescent="0.3">
      <c r="A724" s="560"/>
      <c r="B724" s="561"/>
      <c r="C724" s="531"/>
      <c r="D724" s="534"/>
      <c r="E724" s="535"/>
      <c r="F724" s="8">
        <f>$F$6</f>
        <v>45402</v>
      </c>
      <c r="G724" s="552"/>
      <c r="H724" s="553"/>
    </row>
    <row r="725" spans="1:8" ht="17.2" customHeight="1" thickBot="1" x14ac:dyDescent="0.35">
      <c r="A725" s="536"/>
      <c r="B725" s="537"/>
      <c r="C725" s="537"/>
      <c r="D725" s="537"/>
      <c r="E725" s="537"/>
      <c r="F725" s="537"/>
      <c r="G725" s="537"/>
      <c r="H725" s="538"/>
    </row>
    <row r="726" spans="1:8" ht="28.15" customHeight="1" thickBot="1" x14ac:dyDescent="0.35">
      <c r="A726" s="92">
        <v>3.5</v>
      </c>
      <c r="B726" s="539" t="str">
        <f>VLOOKUP(A726,PRESUPUESTO!$A$14:$G$71,2,)</f>
        <v>Concreto Ciclopeo 60-40 Mejoramiento del terreno (40X40)</v>
      </c>
      <c r="C726" s="540"/>
      <c r="D726" s="540"/>
      <c r="E726" s="540"/>
      <c r="F726" s="541"/>
      <c r="G726" s="57" t="s">
        <v>31</v>
      </c>
      <c r="H726" s="58" t="str">
        <f>VLOOKUP(A726,PRESUPUESTO!$A$14:$G$71,4,)</f>
        <v>M3</v>
      </c>
    </row>
    <row r="727" spans="1:8" ht="17.2" customHeight="1" x14ac:dyDescent="0.3">
      <c r="A727" s="59"/>
      <c r="H727" s="60"/>
    </row>
    <row r="728" spans="1:8" ht="17.2" customHeight="1" x14ac:dyDescent="0.3">
      <c r="A728" s="61" t="s">
        <v>32</v>
      </c>
      <c r="B728" s="525" t="s">
        <v>33</v>
      </c>
      <c r="C728" s="526"/>
      <c r="D728" s="526"/>
      <c r="E728" s="526"/>
      <c r="F728" s="526"/>
      <c r="G728" s="527"/>
      <c r="H728" s="60"/>
    </row>
    <row r="729" spans="1:8" ht="17.2" customHeight="1" x14ac:dyDescent="0.3">
      <c r="A729" s="62"/>
      <c r="B729" s="518" t="s">
        <v>34</v>
      </c>
      <c r="C729" s="519"/>
      <c r="D729" s="62" t="s">
        <v>35</v>
      </c>
      <c r="E729" s="62" t="s">
        <v>69</v>
      </c>
      <c r="F729" s="62" t="s">
        <v>70</v>
      </c>
      <c r="G729" s="62" t="s">
        <v>38</v>
      </c>
      <c r="H729" s="60"/>
    </row>
    <row r="730" spans="1:8" ht="17.2" customHeight="1" x14ac:dyDescent="0.3">
      <c r="A730" s="63"/>
      <c r="B730" s="542" t="s">
        <v>39</v>
      </c>
      <c r="C730" s="543"/>
      <c r="D730" s="63"/>
      <c r="E730" s="64"/>
      <c r="F730" s="64">
        <v>0.1</v>
      </c>
      <c r="G730" s="65">
        <f>ROUND(H747*F730,2)</f>
        <v>14000</v>
      </c>
      <c r="H730" s="66"/>
    </row>
    <row r="731" spans="1:8" ht="17.2" customHeight="1" x14ac:dyDescent="0.3">
      <c r="A731" s="63"/>
      <c r="B731" s="542" t="s">
        <v>457</v>
      </c>
      <c r="C731" s="543"/>
      <c r="D731" s="62" t="s">
        <v>458</v>
      </c>
      <c r="E731" s="68">
        <v>100000</v>
      </c>
      <c r="F731" s="64">
        <v>0.02</v>
      </c>
      <c r="G731" s="69">
        <f>ROUND(E731*F731,2)</f>
        <v>2000</v>
      </c>
      <c r="H731" s="66"/>
    </row>
    <row r="732" spans="1:8" ht="17.2" customHeight="1" x14ac:dyDescent="0.3">
      <c r="A732" s="70"/>
      <c r="E732" s="71" t="s">
        <v>40</v>
      </c>
      <c r="F732" s="71"/>
      <c r="G732" s="71"/>
      <c r="H732" s="72">
        <f>ROUND(SUM(G730:G731),2)</f>
        <v>16000</v>
      </c>
    </row>
    <row r="733" spans="1:8" ht="17.2" customHeight="1" x14ac:dyDescent="0.3">
      <c r="A733" s="61" t="s">
        <v>41</v>
      </c>
      <c r="B733" s="525" t="s">
        <v>42</v>
      </c>
      <c r="C733" s="526"/>
      <c r="D733" s="526"/>
      <c r="E733" s="526"/>
      <c r="F733" s="526"/>
      <c r="G733" s="527"/>
      <c r="H733" s="73"/>
    </row>
    <row r="734" spans="1:8" ht="17.2" customHeight="1" x14ac:dyDescent="0.3">
      <c r="A734" s="62"/>
      <c r="B734" s="518" t="s">
        <v>34</v>
      </c>
      <c r="C734" s="519"/>
      <c r="D734" s="62" t="s">
        <v>43</v>
      </c>
      <c r="E734" s="74" t="s">
        <v>44</v>
      </c>
      <c r="F734" s="74" t="s">
        <v>45</v>
      </c>
      <c r="G734" s="74" t="s">
        <v>38</v>
      </c>
      <c r="H734" s="73"/>
    </row>
    <row r="735" spans="1:8" ht="16.850000000000001" customHeight="1" x14ac:dyDescent="0.3">
      <c r="A735" s="63"/>
      <c r="B735" s="554" t="s">
        <v>181</v>
      </c>
      <c r="C735" s="555"/>
      <c r="D735" s="93" t="s">
        <v>180</v>
      </c>
      <c r="E735" s="94">
        <f>350*0.6</f>
        <v>210</v>
      </c>
      <c r="F735" s="272">
        <v>800</v>
      </c>
      <c r="G735" s="120">
        <f>ROUND(E735*F735,2)</f>
        <v>168000</v>
      </c>
      <c r="H735" s="73"/>
    </row>
    <row r="736" spans="1:8" ht="17.2" customHeight="1" x14ac:dyDescent="0.3">
      <c r="A736" s="63"/>
      <c r="B736" s="523" t="s">
        <v>182</v>
      </c>
      <c r="C736" s="524"/>
      <c r="D736" s="93" t="s">
        <v>0</v>
      </c>
      <c r="E736" s="94">
        <f>0.555*0.6</f>
        <v>0.33300000000000002</v>
      </c>
      <c r="F736" s="272">
        <v>70000</v>
      </c>
      <c r="G736" s="67">
        <f t="shared" ref="G736:G737" si="4">ROUND(E736*F736,2)</f>
        <v>23310</v>
      </c>
      <c r="H736" s="73"/>
    </row>
    <row r="737" spans="1:8" ht="17.2" customHeight="1" x14ac:dyDescent="0.3">
      <c r="A737" s="63"/>
      <c r="B737" s="523" t="s">
        <v>183</v>
      </c>
      <c r="C737" s="524"/>
      <c r="D737" s="93" t="s">
        <v>0</v>
      </c>
      <c r="E737" s="94">
        <f>0.835*0.6</f>
        <v>0.501</v>
      </c>
      <c r="F737" s="272">
        <v>130000</v>
      </c>
      <c r="G737" s="67">
        <f t="shared" si="4"/>
        <v>65130</v>
      </c>
      <c r="H737" s="73"/>
    </row>
    <row r="738" spans="1:8" ht="17.2" customHeight="1" x14ac:dyDescent="0.3">
      <c r="A738" s="63"/>
      <c r="B738" s="523" t="s">
        <v>184</v>
      </c>
      <c r="C738" s="524"/>
      <c r="D738" s="93" t="s">
        <v>185</v>
      </c>
      <c r="E738" s="94">
        <f>170*0.6</f>
        <v>102</v>
      </c>
      <c r="F738" s="272">
        <v>40</v>
      </c>
      <c r="G738" s="67">
        <f>E738*F738</f>
        <v>4080</v>
      </c>
      <c r="H738" s="73"/>
    </row>
    <row r="739" spans="1:8" ht="17.2" customHeight="1" x14ac:dyDescent="0.3">
      <c r="A739" s="63"/>
      <c r="B739" s="523" t="s">
        <v>459</v>
      </c>
      <c r="C739" s="524"/>
      <c r="D739" s="93" t="s">
        <v>0</v>
      </c>
      <c r="E739" s="343">
        <v>0.4</v>
      </c>
      <c r="F739" s="95">
        <v>70000</v>
      </c>
      <c r="G739" s="67">
        <f>E739*F739</f>
        <v>28000</v>
      </c>
      <c r="H739" s="73"/>
    </row>
    <row r="740" spans="1:8" ht="17.2" customHeight="1" x14ac:dyDescent="0.3">
      <c r="A740" s="63"/>
      <c r="B740" s="523"/>
      <c r="C740" s="524"/>
      <c r="D740" s="93"/>
      <c r="E740" s="94"/>
      <c r="F740" s="95"/>
      <c r="G740" s="67"/>
      <c r="H740" s="73"/>
    </row>
    <row r="741" spans="1:8" ht="17.2" customHeight="1" x14ac:dyDescent="0.3">
      <c r="A741" s="70" t="s">
        <v>46</v>
      </c>
      <c r="E741" s="71" t="s">
        <v>47</v>
      </c>
      <c r="F741" s="71"/>
      <c r="G741" s="71"/>
      <c r="H741" s="76">
        <f>ROUND(SUM(G735:G740),2)</f>
        <v>288520</v>
      </c>
    </row>
    <row r="742" spans="1:8" ht="17.2" customHeight="1" x14ac:dyDescent="0.3">
      <c r="A742" s="61" t="s">
        <v>48</v>
      </c>
      <c r="B742" s="525" t="s">
        <v>49</v>
      </c>
      <c r="C742" s="526"/>
      <c r="D742" s="526"/>
      <c r="E742" s="526"/>
      <c r="F742" s="526"/>
      <c r="G742" s="527"/>
      <c r="H742" s="73"/>
    </row>
    <row r="743" spans="1:8" ht="17.2" customHeight="1" x14ac:dyDescent="0.3">
      <c r="A743" s="62" t="s">
        <v>50</v>
      </c>
      <c r="B743" s="62" t="s">
        <v>34</v>
      </c>
      <c r="C743" s="62" t="s">
        <v>51</v>
      </c>
      <c r="D743" s="62" t="s">
        <v>52</v>
      </c>
      <c r="E743" s="74" t="s">
        <v>53</v>
      </c>
      <c r="F743" s="64" t="s">
        <v>179</v>
      </c>
      <c r="G743" s="64" t="s">
        <v>38</v>
      </c>
      <c r="H743" s="73"/>
    </row>
    <row r="744" spans="1:8" ht="17.2" customHeight="1" x14ac:dyDescent="0.3">
      <c r="A744" s="62">
        <v>1</v>
      </c>
      <c r="B744" s="63" t="s">
        <v>79</v>
      </c>
      <c r="C744" s="77">
        <v>120000</v>
      </c>
      <c r="D744" s="78">
        <v>0.75</v>
      </c>
      <c r="E744" s="79">
        <f>+(A744*C744)+(A744*C744*D744)</f>
        <v>210000</v>
      </c>
      <c r="F744" s="75">
        <v>5</v>
      </c>
      <c r="G744" s="65">
        <f>ROUND(E744/(F744),2)</f>
        <v>42000</v>
      </c>
      <c r="H744" s="73"/>
    </row>
    <row r="745" spans="1:8" ht="17.2" customHeight="1" x14ac:dyDescent="0.3">
      <c r="A745" s="62">
        <v>4</v>
      </c>
      <c r="B745" s="63" t="s">
        <v>80</v>
      </c>
      <c r="C745" s="77">
        <v>70000</v>
      </c>
      <c r="D745" s="78">
        <v>0.75</v>
      </c>
      <c r="E745" s="79">
        <f>+(A745*C745)+(A745*C745*D745)</f>
        <v>490000</v>
      </c>
      <c r="F745" s="75">
        <v>5</v>
      </c>
      <c r="G745" s="65">
        <f>ROUND(E745/(F745),2)</f>
        <v>98000</v>
      </c>
      <c r="H745" s="73"/>
    </row>
    <row r="746" spans="1:8" ht="17.2" customHeight="1" x14ac:dyDescent="0.3">
      <c r="A746" s="63"/>
      <c r="B746" s="63"/>
      <c r="C746" s="63"/>
      <c r="D746" s="63"/>
      <c r="E746" s="64"/>
      <c r="F746" s="64"/>
      <c r="G746" s="64"/>
      <c r="H746" s="73"/>
    </row>
    <row r="747" spans="1:8" ht="17.2" customHeight="1" x14ac:dyDescent="0.3">
      <c r="A747" s="70"/>
      <c r="E747" s="71" t="s">
        <v>54</v>
      </c>
      <c r="F747" s="71"/>
      <c r="G747" s="71"/>
      <c r="H747" s="72">
        <f>ROUND(SUM(G744)+(G745),2)</f>
        <v>140000</v>
      </c>
    </row>
    <row r="748" spans="1:8" ht="17.2" customHeight="1" x14ac:dyDescent="0.3">
      <c r="A748" s="61" t="s">
        <v>55</v>
      </c>
      <c r="B748" s="525" t="s">
        <v>56</v>
      </c>
      <c r="C748" s="526"/>
      <c r="D748" s="526"/>
      <c r="E748" s="526"/>
      <c r="F748" s="526"/>
      <c r="G748" s="527"/>
      <c r="H748" s="73"/>
    </row>
    <row r="749" spans="1:8" ht="17.2" customHeight="1" x14ac:dyDescent="0.3">
      <c r="A749" s="63"/>
      <c r="B749" s="63" t="s">
        <v>34</v>
      </c>
      <c r="C749" s="62" t="s">
        <v>43</v>
      </c>
      <c r="D749" s="62" t="s">
        <v>57</v>
      </c>
      <c r="E749" s="62" t="s">
        <v>58</v>
      </c>
      <c r="F749" s="62"/>
      <c r="G749" s="64" t="s">
        <v>59</v>
      </c>
      <c r="H749" s="73"/>
    </row>
    <row r="750" spans="1:8" ht="17.2" customHeight="1" x14ac:dyDescent="0.3">
      <c r="A750" s="63"/>
      <c r="B750" s="63" t="s">
        <v>82</v>
      </c>
      <c r="C750" s="80" t="s">
        <v>83</v>
      </c>
      <c r="D750" s="63">
        <v>5.0000000000000001E-3</v>
      </c>
      <c r="E750" s="64">
        <f>3000000/15</f>
        <v>200000</v>
      </c>
      <c r="F750" s="64"/>
      <c r="G750" s="64">
        <f>D750*E750</f>
        <v>1000</v>
      </c>
      <c r="H750" s="73"/>
    </row>
    <row r="751" spans="1:8" ht="17.2" customHeight="1" x14ac:dyDescent="0.3">
      <c r="A751" s="63"/>
      <c r="B751" s="63"/>
      <c r="C751" s="81"/>
      <c r="D751" s="63"/>
      <c r="E751" s="64"/>
      <c r="F751" s="64"/>
      <c r="G751" s="64"/>
      <c r="H751" s="73"/>
    </row>
    <row r="752" spans="1:8" ht="17.2" customHeight="1" x14ac:dyDescent="0.3">
      <c r="A752" s="63"/>
      <c r="B752" s="63"/>
      <c r="C752" s="63"/>
      <c r="D752" s="63"/>
      <c r="E752" s="64"/>
      <c r="F752" s="64"/>
      <c r="G752" s="64"/>
      <c r="H752" s="73"/>
    </row>
    <row r="753" spans="1:8" ht="17.2" customHeight="1" x14ac:dyDescent="0.3">
      <c r="A753" s="70"/>
      <c r="E753" s="71" t="s">
        <v>54</v>
      </c>
      <c r="F753" s="71"/>
      <c r="G753" s="71"/>
      <c r="H753" s="119">
        <f>ROUND(SUM(G750)+(G751),0)</f>
        <v>1000</v>
      </c>
    </row>
    <row r="754" spans="1:8" ht="17.2" customHeight="1" x14ac:dyDescent="0.3">
      <c r="A754" s="59"/>
      <c r="E754" s="71"/>
      <c r="F754" s="71"/>
      <c r="G754" s="71"/>
      <c r="H754" s="73"/>
    </row>
    <row r="755" spans="1:8" ht="17.2" customHeight="1" x14ac:dyDescent="0.3">
      <c r="A755" s="59"/>
      <c r="D755" s="82" t="s">
        <v>60</v>
      </c>
      <c r="E755" s="83"/>
      <c r="F755" s="83"/>
      <c r="G755" s="83"/>
      <c r="H755" s="72">
        <f>ROUND(SUM(H732:H754),2)</f>
        <v>445520</v>
      </c>
    </row>
    <row r="756" spans="1:8" ht="17.2" customHeight="1" x14ac:dyDescent="0.3">
      <c r="A756" s="59"/>
      <c r="E756" s="71"/>
      <c r="F756" s="71"/>
      <c r="G756" s="71"/>
      <c r="H756" s="73"/>
    </row>
    <row r="757" spans="1:8" ht="17.2" customHeight="1" x14ac:dyDescent="0.3">
      <c r="A757" s="61" t="s">
        <v>61</v>
      </c>
      <c r="B757" s="525" t="s">
        <v>62</v>
      </c>
      <c r="C757" s="526"/>
      <c r="D757" s="526"/>
      <c r="E757" s="526"/>
      <c r="F757" s="526"/>
      <c r="G757" s="527"/>
      <c r="H757" s="73"/>
    </row>
    <row r="758" spans="1:8" ht="17.2" customHeight="1" x14ac:dyDescent="0.3">
      <c r="A758" s="62"/>
      <c r="B758" s="518" t="s">
        <v>34</v>
      </c>
      <c r="C758" s="519"/>
      <c r="D758" s="518" t="s">
        <v>63</v>
      </c>
      <c r="E758" s="519"/>
      <c r="F758" s="528" t="s">
        <v>64</v>
      </c>
      <c r="G758" s="529"/>
      <c r="H758" s="73"/>
    </row>
    <row r="759" spans="1:8" ht="17.2" customHeight="1" x14ac:dyDescent="0.3">
      <c r="A759" s="63"/>
      <c r="B759" s="518" t="s">
        <v>20</v>
      </c>
      <c r="C759" s="519"/>
      <c r="D759" s="520">
        <v>0.28000000000000003</v>
      </c>
      <c r="E759" s="519"/>
      <c r="F759" s="521">
        <f>+H755*D759</f>
        <v>124745.60000000001</v>
      </c>
      <c r="G759" s="522"/>
      <c r="H759" s="73"/>
    </row>
    <row r="760" spans="1:8" ht="17.2" customHeight="1" x14ac:dyDescent="0.3">
      <c r="A760" s="63"/>
      <c r="B760" s="518" t="s">
        <v>21</v>
      </c>
      <c r="C760" s="519"/>
      <c r="D760" s="520">
        <v>0.01</v>
      </c>
      <c r="E760" s="519"/>
      <c r="F760" s="521">
        <f>+H755*D760</f>
        <v>4455.2</v>
      </c>
      <c r="G760" s="522"/>
      <c r="H760" s="73"/>
    </row>
    <row r="761" spans="1:8" ht="17.2" customHeight="1" x14ac:dyDescent="0.3">
      <c r="A761" s="63"/>
      <c r="B761" s="518" t="s">
        <v>22</v>
      </c>
      <c r="C761" s="519"/>
      <c r="D761" s="520">
        <v>0.03</v>
      </c>
      <c r="E761" s="519"/>
      <c r="F761" s="521">
        <f>+H755*D761</f>
        <v>13365.6</v>
      </c>
      <c r="G761" s="522"/>
      <c r="H761" s="73"/>
    </row>
    <row r="762" spans="1:8" ht="17.2" customHeight="1" x14ac:dyDescent="0.3">
      <c r="A762" s="63"/>
      <c r="B762" s="518" t="s">
        <v>188</v>
      </c>
      <c r="C762" s="519"/>
      <c r="D762" s="520">
        <v>0.19</v>
      </c>
      <c r="E762" s="519"/>
      <c r="F762" s="521">
        <f>D762*F761</f>
        <v>2539.4639999999999</v>
      </c>
      <c r="G762" s="522"/>
      <c r="H762" s="73"/>
    </row>
    <row r="763" spans="1:8" ht="17.2" customHeight="1" x14ac:dyDescent="0.3">
      <c r="A763" s="59"/>
      <c r="D763" s="82" t="s">
        <v>65</v>
      </c>
      <c r="E763" s="83"/>
      <c r="F763" s="83"/>
      <c r="G763" s="83"/>
      <c r="H763" s="72">
        <f>SUM(F759:G762)</f>
        <v>145105.864</v>
      </c>
    </row>
    <row r="764" spans="1:8" ht="17.2" customHeight="1" x14ac:dyDescent="0.3">
      <c r="A764" s="59"/>
      <c r="E764" s="71"/>
      <c r="F764" s="71"/>
      <c r="G764" s="71"/>
      <c r="H764" s="73"/>
    </row>
    <row r="765" spans="1:8" ht="17.2" customHeight="1" x14ac:dyDescent="0.3">
      <c r="A765" s="59"/>
      <c r="D765" s="82" t="s">
        <v>66</v>
      </c>
      <c r="E765" s="83"/>
      <c r="F765" s="83"/>
      <c r="G765" s="71"/>
      <c r="H765" s="72">
        <f>H755+H763</f>
        <v>590625.86400000006</v>
      </c>
    </row>
    <row r="766" spans="1:8" ht="17.2" customHeight="1" x14ac:dyDescent="0.3">
      <c r="A766" s="59"/>
      <c r="D766" s="82"/>
      <c r="E766" s="83"/>
      <c r="F766" s="83"/>
      <c r="G766" s="71"/>
      <c r="H766" s="73"/>
    </row>
    <row r="767" spans="1:8" ht="17.2" customHeight="1" x14ac:dyDescent="0.3">
      <c r="A767" s="59"/>
      <c r="E767" s="83"/>
      <c r="F767" s="83"/>
      <c r="G767" s="71"/>
      <c r="H767" s="73"/>
    </row>
    <row r="768" spans="1:8" ht="17.2" customHeight="1" x14ac:dyDescent="0.3">
      <c r="A768" s="84"/>
      <c r="B768" s="85"/>
      <c r="E768" s="46"/>
      <c r="F768" s="47"/>
      <c r="G768" s="48"/>
      <c r="H768" s="73"/>
    </row>
    <row r="769" spans="1:8" ht="17.2" customHeight="1" x14ac:dyDescent="0.3">
      <c r="A769" s="86" t="s">
        <v>67</v>
      </c>
      <c r="B769" s="50" t="s">
        <v>68</v>
      </c>
      <c r="E769" s="49" t="s">
        <v>27</v>
      </c>
      <c r="F769" s="50"/>
      <c r="G769" s="50"/>
      <c r="H769" s="87"/>
    </row>
    <row r="770" spans="1:8" ht="17.2" customHeight="1" x14ac:dyDescent="0.3">
      <c r="A770" s="88" t="s">
        <v>28</v>
      </c>
      <c r="B770" s="50"/>
      <c r="E770" s="50" t="str">
        <f ca="1">+$E$52</f>
        <v>SECRETARIO DE PLANEACION Y OBRAS PUBLICAS</v>
      </c>
      <c r="F770" s="50"/>
      <c r="G770" s="50"/>
      <c r="H770" s="87"/>
    </row>
    <row r="771" spans="1:8" ht="18.2" customHeight="1" x14ac:dyDescent="0.3">
      <c r="A771" s="89"/>
      <c r="B771" s="90"/>
      <c r="C771" s="85"/>
      <c r="D771" s="85"/>
      <c r="E771" s="90" t="str">
        <f ca="1">+$E$53</f>
        <v>SAN MIGUEL - PUTUMAYO</v>
      </c>
      <c r="F771" s="90"/>
      <c r="G771" s="90"/>
      <c r="H771" s="91"/>
    </row>
    <row r="772" spans="1:8" ht="17.2" customHeight="1" x14ac:dyDescent="0.3">
      <c r="A772" s="556"/>
      <c r="B772" s="557"/>
      <c r="C772" s="380" t="s">
        <v>2</v>
      </c>
      <c r="D772" s="382" t="s">
        <v>3</v>
      </c>
      <c r="E772" s="383"/>
      <c r="F772" s="1">
        <v>103</v>
      </c>
      <c r="G772" s="548"/>
      <c r="H772" s="549"/>
    </row>
    <row r="773" spans="1:8" ht="17.2" customHeight="1" x14ac:dyDescent="0.3">
      <c r="A773" s="558"/>
      <c r="B773" s="559"/>
      <c r="C773" s="381"/>
      <c r="D773" s="396" t="s">
        <v>4</v>
      </c>
      <c r="E773" s="397"/>
      <c r="F773" s="400">
        <v>51</v>
      </c>
      <c r="G773" s="550"/>
      <c r="H773" s="551"/>
    </row>
    <row r="774" spans="1:8" ht="17.2" customHeight="1" x14ac:dyDescent="0.3">
      <c r="A774" s="558"/>
      <c r="B774" s="559"/>
      <c r="C774" s="5" t="s">
        <v>5</v>
      </c>
      <c r="D774" s="398"/>
      <c r="E774" s="399"/>
      <c r="F774" s="401"/>
      <c r="G774" s="550"/>
      <c r="H774" s="551"/>
    </row>
    <row r="775" spans="1:8" ht="26.85" customHeight="1" x14ac:dyDescent="0.3">
      <c r="A775" s="558"/>
      <c r="B775" s="559"/>
      <c r="C775" s="55" t="s">
        <v>6</v>
      </c>
      <c r="D775" s="402" t="s">
        <v>7</v>
      </c>
      <c r="E775" s="403"/>
      <c r="F775" s="7">
        <v>1</v>
      </c>
      <c r="G775" s="550"/>
      <c r="H775" s="551"/>
    </row>
    <row r="776" spans="1:8" ht="17.2" customHeight="1" x14ac:dyDescent="0.3">
      <c r="A776" s="558"/>
      <c r="B776" s="559"/>
      <c r="C776" s="530" t="s">
        <v>8</v>
      </c>
      <c r="D776" s="532" t="s">
        <v>9</v>
      </c>
      <c r="E776" s="533"/>
      <c r="F776" s="5" t="s">
        <v>10</v>
      </c>
      <c r="G776" s="550"/>
      <c r="H776" s="551"/>
    </row>
    <row r="777" spans="1:8" ht="17.2" customHeight="1" x14ac:dyDescent="0.3">
      <c r="A777" s="560"/>
      <c r="B777" s="561"/>
      <c r="C777" s="531"/>
      <c r="D777" s="534"/>
      <c r="E777" s="535"/>
      <c r="F777" s="8">
        <f>$F$6</f>
        <v>45402</v>
      </c>
      <c r="G777" s="552"/>
      <c r="H777" s="553"/>
    </row>
    <row r="778" spans="1:8" ht="17.2" customHeight="1" thickBot="1" x14ac:dyDescent="0.35">
      <c r="A778" s="536"/>
      <c r="B778" s="537"/>
      <c r="C778" s="537"/>
      <c r="D778" s="537"/>
      <c r="E778" s="537"/>
      <c r="F778" s="537"/>
      <c r="G778" s="537"/>
      <c r="H778" s="538"/>
    </row>
    <row r="779" spans="1:8" ht="28.15" customHeight="1" thickBot="1" x14ac:dyDescent="0.35">
      <c r="A779" s="92">
        <v>3.6</v>
      </c>
      <c r="B779" s="539" t="str">
        <f>VLOOKUP(A779,PRESUPUESTO!$A$14:$G$71,2,)</f>
        <v>Placa de contrapiso e=0.10m concreto 3000 PSI</v>
      </c>
      <c r="C779" s="540"/>
      <c r="D779" s="540"/>
      <c r="E779" s="540"/>
      <c r="F779" s="541"/>
      <c r="G779" s="57" t="s">
        <v>31</v>
      </c>
      <c r="H779" s="58" t="str">
        <f>VLOOKUP(A779,PRESUPUESTO!$A$14:$G$71,4,)</f>
        <v>M2</v>
      </c>
    </row>
    <row r="780" spans="1:8" ht="17.2" customHeight="1" x14ac:dyDescent="0.3">
      <c r="A780" s="59"/>
      <c r="H780" s="60"/>
    </row>
    <row r="781" spans="1:8" ht="17.2" customHeight="1" x14ac:dyDescent="0.3">
      <c r="A781" s="61" t="s">
        <v>32</v>
      </c>
      <c r="B781" s="525" t="s">
        <v>33</v>
      </c>
      <c r="C781" s="526"/>
      <c r="D781" s="526"/>
      <c r="E781" s="526"/>
      <c r="F781" s="526"/>
      <c r="G781" s="527"/>
      <c r="H781" s="60"/>
    </row>
    <row r="782" spans="1:8" ht="17.2" customHeight="1" x14ac:dyDescent="0.3">
      <c r="A782" s="62"/>
      <c r="B782" s="518" t="s">
        <v>34</v>
      </c>
      <c r="C782" s="519"/>
      <c r="D782" s="62" t="s">
        <v>35</v>
      </c>
      <c r="E782" s="62" t="s">
        <v>69</v>
      </c>
      <c r="F782" s="62" t="s">
        <v>70</v>
      </c>
      <c r="G782" s="62" t="s">
        <v>38</v>
      </c>
      <c r="H782" s="60"/>
    </row>
    <row r="783" spans="1:8" ht="17.2" customHeight="1" x14ac:dyDescent="0.3">
      <c r="A783" s="63"/>
      <c r="B783" s="542" t="s">
        <v>39</v>
      </c>
      <c r="C783" s="543"/>
      <c r="D783" s="63"/>
      <c r="E783" s="64"/>
      <c r="F783" s="64">
        <v>0.1</v>
      </c>
      <c r="G783" s="65">
        <f>ROUND(H800*F783,2)</f>
        <v>4666.67</v>
      </c>
      <c r="H783" s="66"/>
    </row>
    <row r="784" spans="1:8" ht="17.2" customHeight="1" x14ac:dyDescent="0.3">
      <c r="A784" s="63"/>
      <c r="B784" s="542"/>
      <c r="C784" s="543"/>
      <c r="D784" s="62"/>
      <c r="E784" s="68"/>
      <c r="F784" s="64"/>
      <c r="G784" s="69"/>
      <c r="H784" s="66"/>
    </row>
    <row r="785" spans="1:8" ht="17.2" customHeight="1" x14ac:dyDescent="0.3">
      <c r="A785" s="70"/>
      <c r="E785" s="71" t="s">
        <v>40</v>
      </c>
      <c r="F785" s="71"/>
      <c r="G785" s="71"/>
      <c r="H785" s="72">
        <f>ROUND(SUM(G783:G784),2)</f>
        <v>4666.67</v>
      </c>
    </row>
    <row r="786" spans="1:8" ht="17.2" customHeight="1" x14ac:dyDescent="0.3">
      <c r="A786" s="61" t="s">
        <v>41</v>
      </c>
      <c r="B786" s="525" t="s">
        <v>42</v>
      </c>
      <c r="C786" s="526"/>
      <c r="D786" s="526"/>
      <c r="E786" s="526"/>
      <c r="F786" s="526"/>
      <c r="G786" s="527"/>
      <c r="H786" s="73"/>
    </row>
    <row r="787" spans="1:8" ht="17.2" customHeight="1" x14ac:dyDescent="0.3">
      <c r="A787" s="62"/>
      <c r="B787" s="518" t="s">
        <v>34</v>
      </c>
      <c r="C787" s="519"/>
      <c r="D787" s="62" t="s">
        <v>43</v>
      </c>
      <c r="E787" s="74" t="s">
        <v>44</v>
      </c>
      <c r="F787" s="74" t="s">
        <v>45</v>
      </c>
      <c r="G787" s="74" t="s">
        <v>38</v>
      </c>
      <c r="H787" s="73"/>
    </row>
    <row r="788" spans="1:8" ht="16.850000000000001" customHeight="1" x14ac:dyDescent="0.3">
      <c r="A788" s="63"/>
      <c r="B788" s="554" t="s">
        <v>181</v>
      </c>
      <c r="C788" s="555"/>
      <c r="D788" s="93" t="s">
        <v>180</v>
      </c>
      <c r="E788" s="94">
        <f>350*0.1</f>
        <v>35</v>
      </c>
      <c r="F788" s="272">
        <v>800</v>
      </c>
      <c r="G788" s="120">
        <f>ROUND(E788*F788,2)</f>
        <v>28000</v>
      </c>
      <c r="H788" s="73"/>
    </row>
    <row r="789" spans="1:8" ht="17.2" customHeight="1" x14ac:dyDescent="0.3">
      <c r="A789" s="63"/>
      <c r="B789" s="523" t="s">
        <v>182</v>
      </c>
      <c r="C789" s="524"/>
      <c r="D789" s="93" t="s">
        <v>0</v>
      </c>
      <c r="E789" s="94">
        <v>7.0000000000000007E-2</v>
      </c>
      <c r="F789" s="272">
        <v>70000</v>
      </c>
      <c r="G789" s="67">
        <f t="shared" ref="G789:G790" si="5">ROUND(E789*F789,2)</f>
        <v>4900</v>
      </c>
      <c r="H789" s="73"/>
    </row>
    <row r="790" spans="1:8" ht="17.2" customHeight="1" x14ac:dyDescent="0.3">
      <c r="A790" s="63"/>
      <c r="B790" s="523" t="s">
        <v>183</v>
      </c>
      <c r="C790" s="524"/>
      <c r="D790" s="93" t="s">
        <v>0</v>
      </c>
      <c r="E790" s="94">
        <v>0.09</v>
      </c>
      <c r="F790" s="272">
        <v>130000</v>
      </c>
      <c r="G790" s="67">
        <f t="shared" si="5"/>
        <v>11700</v>
      </c>
      <c r="H790" s="73"/>
    </row>
    <row r="791" spans="1:8" ht="17.2" customHeight="1" x14ac:dyDescent="0.3">
      <c r="A791" s="63"/>
      <c r="B791" s="523" t="s">
        <v>184</v>
      </c>
      <c r="C791" s="524"/>
      <c r="D791" s="93" t="s">
        <v>185</v>
      </c>
      <c r="E791" s="94">
        <f>170*0.1</f>
        <v>17</v>
      </c>
      <c r="F791" s="272">
        <v>40</v>
      </c>
      <c r="G791" s="67">
        <f>E791*F791</f>
        <v>680</v>
      </c>
      <c r="H791" s="73"/>
    </row>
    <row r="792" spans="1:8" ht="17.2" customHeight="1" x14ac:dyDescent="0.3">
      <c r="A792" s="63"/>
      <c r="B792" s="523"/>
      <c r="C792" s="524"/>
      <c r="D792" s="93"/>
      <c r="E792" s="272"/>
      <c r="F792" s="95"/>
      <c r="G792" s="67"/>
      <c r="H792" s="73"/>
    </row>
    <row r="793" spans="1:8" ht="17.2" customHeight="1" x14ac:dyDescent="0.3">
      <c r="A793" s="63"/>
      <c r="B793" s="523"/>
      <c r="C793" s="524"/>
      <c r="D793" s="93"/>
      <c r="E793" s="94"/>
      <c r="F793" s="95"/>
      <c r="G793" s="67"/>
      <c r="H793" s="73"/>
    </row>
    <row r="794" spans="1:8" ht="17.2" customHeight="1" x14ac:dyDescent="0.3">
      <c r="A794" s="70" t="s">
        <v>46</v>
      </c>
      <c r="E794" s="71" t="s">
        <v>47</v>
      </c>
      <c r="F794" s="71"/>
      <c r="G794" s="71"/>
      <c r="H794" s="76">
        <f>ROUND(SUM(G788:G793),2)</f>
        <v>45280</v>
      </c>
    </row>
    <row r="795" spans="1:8" ht="17.2" customHeight="1" x14ac:dyDescent="0.3">
      <c r="A795" s="61" t="s">
        <v>48</v>
      </c>
      <c r="B795" s="525" t="s">
        <v>49</v>
      </c>
      <c r="C795" s="526"/>
      <c r="D795" s="526"/>
      <c r="E795" s="526"/>
      <c r="F795" s="526"/>
      <c r="G795" s="527"/>
      <c r="H795" s="73"/>
    </row>
    <row r="796" spans="1:8" ht="17.2" customHeight="1" x14ac:dyDescent="0.3">
      <c r="A796" s="62" t="s">
        <v>50</v>
      </c>
      <c r="B796" s="62" t="s">
        <v>34</v>
      </c>
      <c r="C796" s="62" t="s">
        <v>51</v>
      </c>
      <c r="D796" s="62" t="s">
        <v>52</v>
      </c>
      <c r="E796" s="74" t="s">
        <v>53</v>
      </c>
      <c r="F796" s="64" t="s">
        <v>186</v>
      </c>
      <c r="G796" s="64" t="s">
        <v>38</v>
      </c>
      <c r="H796" s="73"/>
    </row>
    <row r="797" spans="1:8" ht="17.2" customHeight="1" x14ac:dyDescent="0.3">
      <c r="A797" s="62">
        <v>1</v>
      </c>
      <c r="B797" s="63" t="s">
        <v>79</v>
      </c>
      <c r="C797" s="77">
        <v>120000</v>
      </c>
      <c r="D797" s="78">
        <v>0.75</v>
      </c>
      <c r="E797" s="79">
        <f>+(A797*C797)+(A797*C797*D797)</f>
        <v>210000</v>
      </c>
      <c r="F797" s="75">
        <v>15</v>
      </c>
      <c r="G797" s="65">
        <f>ROUND(E797/(F797),2)</f>
        <v>14000</v>
      </c>
      <c r="H797" s="73"/>
    </row>
    <row r="798" spans="1:8" ht="17.2" customHeight="1" x14ac:dyDescent="0.3">
      <c r="A798" s="62">
        <v>4</v>
      </c>
      <c r="B798" s="63" t="s">
        <v>80</v>
      </c>
      <c r="C798" s="77">
        <v>70000</v>
      </c>
      <c r="D798" s="78">
        <v>0.75</v>
      </c>
      <c r="E798" s="79">
        <f>+(A798*C798)+(A798*C798*D798)</f>
        <v>490000</v>
      </c>
      <c r="F798" s="75">
        <v>15</v>
      </c>
      <c r="G798" s="65">
        <f>ROUND(E798/(F798),2)</f>
        <v>32666.67</v>
      </c>
      <c r="H798" s="73"/>
    </row>
    <row r="799" spans="1:8" ht="17.2" customHeight="1" x14ac:dyDescent="0.3">
      <c r="A799" s="63"/>
      <c r="B799" s="63"/>
      <c r="C799" s="63"/>
      <c r="D799" s="63"/>
      <c r="E799" s="64"/>
      <c r="F799" s="64"/>
      <c r="G799" s="64"/>
      <c r="H799" s="73"/>
    </row>
    <row r="800" spans="1:8" ht="17.2" customHeight="1" x14ac:dyDescent="0.3">
      <c r="A800" s="70"/>
      <c r="E800" s="71" t="s">
        <v>54</v>
      </c>
      <c r="F800" s="71"/>
      <c r="G800" s="71"/>
      <c r="H800" s="72">
        <f>ROUND(SUM(G797)+(G798),2)</f>
        <v>46666.67</v>
      </c>
    </row>
    <row r="801" spans="1:8" ht="17.2" customHeight="1" x14ac:dyDescent="0.3">
      <c r="A801" s="61" t="s">
        <v>55</v>
      </c>
      <c r="B801" s="525" t="s">
        <v>56</v>
      </c>
      <c r="C801" s="526"/>
      <c r="D801" s="526"/>
      <c r="E801" s="526"/>
      <c r="F801" s="526"/>
      <c r="G801" s="527"/>
      <c r="H801" s="73"/>
    </row>
    <row r="802" spans="1:8" ht="17.2" customHeight="1" x14ac:dyDescent="0.3">
      <c r="A802" s="63"/>
      <c r="B802" s="63" t="s">
        <v>34</v>
      </c>
      <c r="C802" s="62" t="s">
        <v>43</v>
      </c>
      <c r="D802" s="62" t="s">
        <v>57</v>
      </c>
      <c r="E802" s="62" t="s">
        <v>58</v>
      </c>
      <c r="F802" s="62"/>
      <c r="G802" s="64" t="s">
        <v>59</v>
      </c>
      <c r="H802" s="73"/>
    </row>
    <row r="803" spans="1:8" ht="17.2" customHeight="1" x14ac:dyDescent="0.3">
      <c r="A803" s="63"/>
      <c r="B803" s="63" t="s">
        <v>82</v>
      </c>
      <c r="C803" s="80" t="s">
        <v>83</v>
      </c>
      <c r="D803" s="63">
        <v>5.0000000000000001E-3</v>
      </c>
      <c r="E803" s="64">
        <f>3000000/15</f>
        <v>200000</v>
      </c>
      <c r="F803" s="64"/>
      <c r="G803" s="64">
        <f>D803*E803</f>
        <v>1000</v>
      </c>
      <c r="H803" s="73"/>
    </row>
    <row r="804" spans="1:8" ht="17.2" customHeight="1" x14ac:dyDescent="0.3">
      <c r="A804" s="63"/>
      <c r="B804" s="63"/>
      <c r="C804" s="81"/>
      <c r="D804" s="63"/>
      <c r="E804" s="64"/>
      <c r="F804" s="64"/>
      <c r="G804" s="64"/>
      <c r="H804" s="73"/>
    </row>
    <row r="805" spans="1:8" ht="17.2" customHeight="1" x14ac:dyDescent="0.3">
      <c r="A805" s="63"/>
      <c r="B805" s="63"/>
      <c r="C805" s="63"/>
      <c r="D805" s="63"/>
      <c r="E805" s="64"/>
      <c r="F805" s="64"/>
      <c r="G805" s="64"/>
      <c r="H805" s="73"/>
    </row>
    <row r="806" spans="1:8" ht="17.2" customHeight="1" x14ac:dyDescent="0.3">
      <c r="A806" s="70"/>
      <c r="E806" s="71" t="s">
        <v>54</v>
      </c>
      <c r="F806" s="71"/>
      <c r="G806" s="71"/>
      <c r="H806" s="119">
        <f>ROUND(SUM(G803)+(G804),0)</f>
        <v>1000</v>
      </c>
    </row>
    <row r="807" spans="1:8" ht="17.2" customHeight="1" x14ac:dyDescent="0.3">
      <c r="A807" s="59"/>
      <c r="E807" s="71"/>
      <c r="F807" s="71"/>
      <c r="G807" s="71"/>
      <c r="H807" s="73"/>
    </row>
    <row r="808" spans="1:8" ht="17.2" customHeight="1" x14ac:dyDescent="0.3">
      <c r="A808" s="59"/>
      <c r="D808" s="82" t="s">
        <v>60</v>
      </c>
      <c r="E808" s="83"/>
      <c r="F808" s="83"/>
      <c r="G808" s="83"/>
      <c r="H808" s="72">
        <f>ROUND(SUM(H785:H807),2)</f>
        <v>97613.34</v>
      </c>
    </row>
    <row r="809" spans="1:8" ht="17.2" customHeight="1" x14ac:dyDescent="0.3">
      <c r="A809" s="59"/>
      <c r="E809" s="71"/>
      <c r="F809" s="71"/>
      <c r="G809" s="71"/>
      <c r="H809" s="73"/>
    </row>
    <row r="810" spans="1:8" ht="17.2" customHeight="1" x14ac:dyDescent="0.3">
      <c r="A810" s="61" t="s">
        <v>61</v>
      </c>
      <c r="B810" s="525" t="s">
        <v>62</v>
      </c>
      <c r="C810" s="526"/>
      <c r="D810" s="526"/>
      <c r="E810" s="526"/>
      <c r="F810" s="526"/>
      <c r="G810" s="527"/>
      <c r="H810" s="73"/>
    </row>
    <row r="811" spans="1:8" ht="17.2" customHeight="1" x14ac:dyDescent="0.3">
      <c r="A811" s="62"/>
      <c r="B811" s="518" t="s">
        <v>34</v>
      </c>
      <c r="C811" s="519"/>
      <c r="D811" s="518" t="s">
        <v>63</v>
      </c>
      <c r="E811" s="519"/>
      <c r="F811" s="528" t="s">
        <v>64</v>
      </c>
      <c r="G811" s="529"/>
      <c r="H811" s="73"/>
    </row>
    <row r="812" spans="1:8" ht="17.2" customHeight="1" x14ac:dyDescent="0.3">
      <c r="A812" s="63"/>
      <c r="B812" s="518" t="s">
        <v>20</v>
      </c>
      <c r="C812" s="519"/>
      <c r="D812" s="520">
        <v>0.28000000000000003</v>
      </c>
      <c r="E812" s="519"/>
      <c r="F812" s="521">
        <f>+H808*D812</f>
        <v>27331.735200000003</v>
      </c>
      <c r="G812" s="522"/>
      <c r="H812" s="73"/>
    </row>
    <row r="813" spans="1:8" ht="17.2" customHeight="1" x14ac:dyDescent="0.3">
      <c r="A813" s="63"/>
      <c r="B813" s="518" t="s">
        <v>21</v>
      </c>
      <c r="C813" s="519"/>
      <c r="D813" s="520">
        <v>0.01</v>
      </c>
      <c r="E813" s="519"/>
      <c r="F813" s="521">
        <f>+H808*D813</f>
        <v>976.13339999999994</v>
      </c>
      <c r="G813" s="522"/>
      <c r="H813" s="73"/>
    </row>
    <row r="814" spans="1:8" ht="17.2" customHeight="1" x14ac:dyDescent="0.3">
      <c r="A814" s="63"/>
      <c r="B814" s="518" t="s">
        <v>22</v>
      </c>
      <c r="C814" s="519"/>
      <c r="D814" s="520">
        <v>0.03</v>
      </c>
      <c r="E814" s="519"/>
      <c r="F814" s="521">
        <f>+H808*D814</f>
        <v>2928.4001999999996</v>
      </c>
      <c r="G814" s="522"/>
      <c r="H814" s="73"/>
    </row>
    <row r="815" spans="1:8" ht="17.2" customHeight="1" x14ac:dyDescent="0.3">
      <c r="A815" s="63"/>
      <c r="B815" s="518" t="s">
        <v>188</v>
      </c>
      <c r="C815" s="519"/>
      <c r="D815" s="520">
        <v>0.19</v>
      </c>
      <c r="E815" s="519"/>
      <c r="F815" s="521">
        <f>D815*F814</f>
        <v>556.39603799999998</v>
      </c>
      <c r="G815" s="522"/>
      <c r="H815" s="73"/>
    </row>
    <row r="816" spans="1:8" ht="17.2" customHeight="1" x14ac:dyDescent="0.3">
      <c r="A816" s="59"/>
      <c r="D816" s="82" t="s">
        <v>65</v>
      </c>
      <c r="E816" s="83"/>
      <c r="F816" s="83"/>
      <c r="G816" s="83"/>
      <c r="H816" s="72">
        <f>SUM(F812:G815)</f>
        <v>31792.664838000001</v>
      </c>
    </row>
    <row r="817" spans="1:8" ht="17.2" customHeight="1" x14ac:dyDescent="0.3">
      <c r="A817" s="59"/>
      <c r="E817" s="71"/>
      <c r="F817" s="71"/>
      <c r="G817" s="71"/>
      <c r="H817" s="73"/>
    </row>
    <row r="818" spans="1:8" ht="17.2" customHeight="1" x14ac:dyDescent="0.3">
      <c r="A818" s="59"/>
      <c r="D818" s="82" t="s">
        <v>66</v>
      </c>
      <c r="E818" s="83"/>
      <c r="F818" s="83"/>
      <c r="G818" s="71"/>
      <c r="H818" s="72">
        <f>H808+H816</f>
        <v>129406.00483799999</v>
      </c>
    </row>
    <row r="819" spans="1:8" ht="17.2" customHeight="1" x14ac:dyDescent="0.3">
      <c r="A819" s="59"/>
      <c r="D819" s="82"/>
      <c r="E819" s="83"/>
      <c r="F819" s="83"/>
      <c r="G819" s="71"/>
      <c r="H819" s="73"/>
    </row>
    <row r="820" spans="1:8" ht="17.2" customHeight="1" x14ac:dyDescent="0.3">
      <c r="A820" s="59"/>
      <c r="E820" s="83"/>
      <c r="F820" s="83"/>
      <c r="G820" s="71"/>
      <c r="H820" s="73"/>
    </row>
    <row r="821" spans="1:8" ht="17.2" customHeight="1" x14ac:dyDescent="0.3">
      <c r="A821" s="84"/>
      <c r="B821" s="85"/>
      <c r="E821" s="46"/>
      <c r="F821" s="47"/>
      <c r="G821" s="48"/>
      <c r="H821" s="73"/>
    </row>
    <row r="822" spans="1:8" ht="17.2" customHeight="1" x14ac:dyDescent="0.3">
      <c r="A822" s="86" t="s">
        <v>67</v>
      </c>
      <c r="B822" s="50" t="s">
        <v>68</v>
      </c>
      <c r="E822" s="49" t="s">
        <v>27</v>
      </c>
      <c r="F822" s="50"/>
      <c r="G822" s="50"/>
      <c r="H822" s="87"/>
    </row>
    <row r="823" spans="1:8" ht="17.2" customHeight="1" x14ac:dyDescent="0.3">
      <c r="A823" s="88" t="s">
        <v>28</v>
      </c>
      <c r="B823" s="50"/>
      <c r="E823" s="50" t="str">
        <f ca="1">+$E$52</f>
        <v>SECRETARIO DE PLANEACION Y OBRAS PUBLICAS</v>
      </c>
      <c r="F823" s="50"/>
      <c r="G823" s="50"/>
      <c r="H823" s="87"/>
    </row>
    <row r="824" spans="1:8" ht="18.2" customHeight="1" x14ac:dyDescent="0.3">
      <c r="A824" s="89"/>
      <c r="B824" s="90"/>
      <c r="C824" s="85"/>
      <c r="D824" s="85"/>
      <c r="E824" s="90" t="str">
        <f ca="1">+$E$53</f>
        <v>SAN MIGUEL - PUTUMAYO</v>
      </c>
      <c r="F824" s="90"/>
      <c r="G824" s="90"/>
      <c r="H824" s="91"/>
    </row>
    <row r="825" spans="1:8" ht="17.2" customHeight="1" x14ac:dyDescent="0.3">
      <c r="A825" s="556"/>
      <c r="B825" s="557"/>
      <c r="C825" s="380" t="s">
        <v>2</v>
      </c>
      <c r="D825" s="382" t="s">
        <v>3</v>
      </c>
      <c r="E825" s="383"/>
      <c r="F825" s="1">
        <v>103</v>
      </c>
      <c r="G825" s="548"/>
      <c r="H825" s="549"/>
    </row>
    <row r="826" spans="1:8" ht="17.2" customHeight="1" x14ac:dyDescent="0.3">
      <c r="A826" s="558"/>
      <c r="B826" s="559"/>
      <c r="C826" s="381"/>
      <c r="D826" s="396" t="s">
        <v>4</v>
      </c>
      <c r="E826" s="397"/>
      <c r="F826" s="400">
        <v>51</v>
      </c>
      <c r="G826" s="550"/>
      <c r="H826" s="551"/>
    </row>
    <row r="827" spans="1:8" ht="17.2" customHeight="1" x14ac:dyDescent="0.3">
      <c r="A827" s="558"/>
      <c r="B827" s="559"/>
      <c r="C827" s="5" t="s">
        <v>5</v>
      </c>
      <c r="D827" s="398"/>
      <c r="E827" s="399"/>
      <c r="F827" s="401"/>
      <c r="G827" s="550"/>
      <c r="H827" s="551"/>
    </row>
    <row r="828" spans="1:8" ht="26.85" customHeight="1" x14ac:dyDescent="0.3">
      <c r="A828" s="558"/>
      <c r="B828" s="559"/>
      <c r="C828" s="55" t="s">
        <v>6</v>
      </c>
      <c r="D828" s="402" t="s">
        <v>7</v>
      </c>
      <c r="E828" s="403"/>
      <c r="F828" s="7">
        <v>1</v>
      </c>
      <c r="G828" s="550"/>
      <c r="H828" s="551"/>
    </row>
    <row r="829" spans="1:8" ht="17.2" customHeight="1" x14ac:dyDescent="0.3">
      <c r="A829" s="558"/>
      <c r="B829" s="559"/>
      <c r="C829" s="530" t="s">
        <v>8</v>
      </c>
      <c r="D829" s="532" t="s">
        <v>9</v>
      </c>
      <c r="E829" s="533"/>
      <c r="F829" s="5" t="s">
        <v>10</v>
      </c>
      <c r="G829" s="550"/>
      <c r="H829" s="551"/>
    </row>
    <row r="830" spans="1:8" ht="17.2" customHeight="1" x14ac:dyDescent="0.3">
      <c r="A830" s="560"/>
      <c r="B830" s="561"/>
      <c r="C830" s="531"/>
      <c r="D830" s="534"/>
      <c r="E830" s="535"/>
      <c r="F830" s="8">
        <f>$F$6</f>
        <v>45402</v>
      </c>
      <c r="G830" s="552"/>
      <c r="H830" s="553"/>
    </row>
    <row r="831" spans="1:8" ht="17.2" customHeight="1" thickBot="1" x14ac:dyDescent="0.35">
      <c r="A831" s="536"/>
      <c r="B831" s="537"/>
      <c r="C831" s="537"/>
      <c r="D831" s="537"/>
      <c r="E831" s="537"/>
      <c r="F831" s="537"/>
      <c r="G831" s="537"/>
      <c r="H831" s="538"/>
    </row>
    <row r="832" spans="1:8" ht="28.15" customHeight="1" thickBot="1" x14ac:dyDescent="0.35">
      <c r="A832" s="92">
        <v>4.0999999999999996</v>
      </c>
      <c r="B832" s="539" t="str">
        <f>VLOOKUP(A832,PRESUPUESTO!$A$14:$G$71,2,)</f>
        <v xml:space="preserve">Suministro e instalacion de tuberia hidraulica en PVC presion 3/4"  incluido accesorios   </v>
      </c>
      <c r="C832" s="540"/>
      <c r="D832" s="540"/>
      <c r="E832" s="540"/>
      <c r="F832" s="541"/>
      <c r="G832" s="57" t="s">
        <v>31</v>
      </c>
      <c r="H832" s="58" t="str">
        <f>VLOOKUP(A832,PRESUPUESTO!$A$14:$G$71,4,)</f>
        <v>ML</v>
      </c>
    </row>
    <row r="833" spans="1:8" ht="17.2" customHeight="1" x14ac:dyDescent="0.3">
      <c r="A833" s="59"/>
      <c r="H833" s="60"/>
    </row>
    <row r="834" spans="1:8" ht="17.2" customHeight="1" x14ac:dyDescent="0.3">
      <c r="A834" s="61" t="s">
        <v>32</v>
      </c>
      <c r="B834" s="525" t="s">
        <v>33</v>
      </c>
      <c r="C834" s="526"/>
      <c r="D834" s="526"/>
      <c r="E834" s="526"/>
      <c r="F834" s="526"/>
      <c r="G834" s="527"/>
      <c r="H834" s="60"/>
    </row>
    <row r="835" spans="1:8" ht="17.2" customHeight="1" x14ac:dyDescent="0.3">
      <c r="A835" s="62"/>
      <c r="B835" s="518" t="s">
        <v>34</v>
      </c>
      <c r="C835" s="519"/>
      <c r="D835" s="62" t="s">
        <v>35</v>
      </c>
      <c r="E835" s="62" t="s">
        <v>69</v>
      </c>
      <c r="F835" s="62" t="s">
        <v>70</v>
      </c>
      <c r="G835" s="62" t="s">
        <v>38</v>
      </c>
      <c r="H835" s="60"/>
    </row>
    <row r="836" spans="1:8" ht="17.2" customHeight="1" x14ac:dyDescent="0.3">
      <c r="A836" s="63"/>
      <c r="B836" s="542" t="s">
        <v>39</v>
      </c>
      <c r="C836" s="543"/>
      <c r="D836" s="63"/>
      <c r="E836" s="64"/>
      <c r="F836" s="64">
        <v>0.1</v>
      </c>
      <c r="G836" s="65">
        <f>ROUND(H853*F836,2)</f>
        <v>455</v>
      </c>
      <c r="H836" s="66"/>
    </row>
    <row r="837" spans="1:8" ht="17.2" customHeight="1" x14ac:dyDescent="0.3">
      <c r="A837" s="63"/>
      <c r="B837" s="542"/>
      <c r="C837" s="543"/>
      <c r="D837" s="62"/>
      <c r="E837" s="68"/>
      <c r="F837" s="64"/>
      <c r="G837" s="69"/>
      <c r="H837" s="66"/>
    </row>
    <row r="838" spans="1:8" ht="17.2" customHeight="1" x14ac:dyDescent="0.3">
      <c r="A838" s="70"/>
      <c r="E838" s="71" t="s">
        <v>40</v>
      </c>
      <c r="F838" s="71"/>
      <c r="G838" s="71"/>
      <c r="H838" s="72">
        <f>ROUND(SUM(G836:G837),2)</f>
        <v>455</v>
      </c>
    </row>
    <row r="839" spans="1:8" ht="17.2" customHeight="1" x14ac:dyDescent="0.3">
      <c r="A839" s="61" t="s">
        <v>41</v>
      </c>
      <c r="B839" s="525" t="s">
        <v>42</v>
      </c>
      <c r="C839" s="526"/>
      <c r="D839" s="526"/>
      <c r="E839" s="526"/>
      <c r="F839" s="526"/>
      <c r="G839" s="527"/>
      <c r="H839" s="73"/>
    </row>
    <row r="840" spans="1:8" ht="17.2" customHeight="1" x14ac:dyDescent="0.3">
      <c r="A840" s="62"/>
      <c r="B840" s="518" t="s">
        <v>34</v>
      </c>
      <c r="C840" s="519"/>
      <c r="D840" s="62" t="s">
        <v>43</v>
      </c>
      <c r="E840" s="74" t="s">
        <v>44</v>
      </c>
      <c r="F840" s="74" t="s">
        <v>45</v>
      </c>
      <c r="G840" s="74" t="s">
        <v>38</v>
      </c>
      <c r="H840" s="73"/>
    </row>
    <row r="841" spans="1:8" ht="17.55" customHeight="1" x14ac:dyDescent="0.3">
      <c r="A841" s="63"/>
      <c r="B841" s="544" t="s">
        <v>244</v>
      </c>
      <c r="C841" s="545"/>
      <c r="D841" s="270" t="s">
        <v>233</v>
      </c>
      <c r="E841" s="271">
        <v>1</v>
      </c>
      <c r="F841" s="95">
        <v>6000</v>
      </c>
      <c r="G841" s="120">
        <f>ROUND(E841*F841,2)</f>
        <v>6000</v>
      </c>
      <c r="H841" s="73"/>
    </row>
    <row r="842" spans="1:8" ht="17.2" customHeight="1" x14ac:dyDescent="0.3">
      <c r="A842" s="63"/>
      <c r="B842" s="546" t="s">
        <v>209</v>
      </c>
      <c r="C842" s="547"/>
      <c r="D842" s="270" t="s">
        <v>208</v>
      </c>
      <c r="E842" s="270">
        <v>0.01</v>
      </c>
      <c r="F842" s="95">
        <v>150000</v>
      </c>
      <c r="G842" s="67">
        <f t="shared" ref="G842:G843" si="6">ROUND(E842*F842,2)</f>
        <v>1500</v>
      </c>
      <c r="H842" s="73"/>
    </row>
    <row r="843" spans="1:8" ht="17.2" customHeight="1" x14ac:dyDescent="0.3">
      <c r="A843" s="63"/>
      <c r="B843" s="546" t="s">
        <v>210</v>
      </c>
      <c r="C843" s="547"/>
      <c r="D843" s="270" t="s">
        <v>208</v>
      </c>
      <c r="E843" s="270">
        <v>0.01</v>
      </c>
      <c r="F843" s="95">
        <v>110000</v>
      </c>
      <c r="G843" s="67">
        <f t="shared" si="6"/>
        <v>1100</v>
      </c>
      <c r="H843" s="73"/>
    </row>
    <row r="844" spans="1:8" ht="17.2" customHeight="1" x14ac:dyDescent="0.3">
      <c r="A844" s="63"/>
      <c r="B844" s="523" t="s">
        <v>245</v>
      </c>
      <c r="C844" s="524"/>
      <c r="D844" s="93" t="s">
        <v>212</v>
      </c>
      <c r="E844" s="94">
        <v>0.5</v>
      </c>
      <c r="F844" s="95">
        <v>500</v>
      </c>
      <c r="G844" s="67">
        <f>E844*F844</f>
        <v>250</v>
      </c>
      <c r="H844" s="73"/>
    </row>
    <row r="845" spans="1:8" ht="17.2" customHeight="1" x14ac:dyDescent="0.3">
      <c r="A845" s="63"/>
      <c r="B845" s="523" t="s">
        <v>246</v>
      </c>
      <c r="C845" s="524"/>
      <c r="D845" s="93" t="s">
        <v>212</v>
      </c>
      <c r="E845" s="94">
        <v>0.3</v>
      </c>
      <c r="F845" s="95">
        <v>600</v>
      </c>
      <c r="G845" s="67">
        <f>E845*F845</f>
        <v>180</v>
      </c>
      <c r="H845" s="73"/>
    </row>
    <row r="846" spans="1:8" ht="17.2" customHeight="1" x14ac:dyDescent="0.3">
      <c r="A846" s="63"/>
      <c r="B846" s="523" t="s">
        <v>247</v>
      </c>
      <c r="C846" s="524"/>
      <c r="D846" s="93" t="s">
        <v>212</v>
      </c>
      <c r="E846" s="94">
        <v>0.1</v>
      </c>
      <c r="F846" s="95">
        <v>500</v>
      </c>
      <c r="G846" s="67">
        <f>E846*F846</f>
        <v>50</v>
      </c>
      <c r="H846" s="73"/>
    </row>
    <row r="847" spans="1:8" ht="17.2" customHeight="1" x14ac:dyDescent="0.3">
      <c r="A847" s="70" t="s">
        <v>46</v>
      </c>
      <c r="E847" s="71" t="s">
        <v>47</v>
      </c>
      <c r="F847" s="71"/>
      <c r="G847" s="71"/>
      <c r="H847" s="76">
        <f>ROUND(SUM(G841:G846),2)</f>
        <v>9080</v>
      </c>
    </row>
    <row r="848" spans="1:8" ht="17.2" customHeight="1" x14ac:dyDescent="0.3">
      <c r="A848" s="61" t="s">
        <v>48</v>
      </c>
      <c r="B848" s="525" t="s">
        <v>49</v>
      </c>
      <c r="C848" s="526"/>
      <c r="D848" s="526"/>
      <c r="E848" s="526"/>
      <c r="F848" s="526"/>
      <c r="G848" s="527"/>
      <c r="H848" s="73"/>
    </row>
    <row r="849" spans="1:8" ht="17.2" customHeight="1" x14ac:dyDescent="0.3">
      <c r="A849" s="62" t="s">
        <v>50</v>
      </c>
      <c r="B849" s="62" t="s">
        <v>34</v>
      </c>
      <c r="C849" s="62" t="s">
        <v>51</v>
      </c>
      <c r="D849" s="62" t="s">
        <v>52</v>
      </c>
      <c r="E849" s="74" t="s">
        <v>53</v>
      </c>
      <c r="F849" s="64" t="s">
        <v>238</v>
      </c>
      <c r="G849" s="64" t="s">
        <v>38</v>
      </c>
      <c r="H849" s="73"/>
    </row>
    <row r="850" spans="1:8" ht="17.2" customHeight="1" x14ac:dyDescent="0.3">
      <c r="A850" s="62">
        <v>1</v>
      </c>
      <c r="B850" s="63" t="s">
        <v>79</v>
      </c>
      <c r="C850" s="77">
        <v>120000</v>
      </c>
      <c r="D850" s="78">
        <v>0.75</v>
      </c>
      <c r="E850" s="79">
        <f>+(A850*C850)+(A850*C850*D850)</f>
        <v>210000</v>
      </c>
      <c r="F850" s="75">
        <v>100</v>
      </c>
      <c r="G850" s="65">
        <f>ROUND(E850/(F850),2)</f>
        <v>2100</v>
      </c>
      <c r="H850" s="73"/>
    </row>
    <row r="851" spans="1:8" ht="17.2" customHeight="1" x14ac:dyDescent="0.3">
      <c r="A851" s="62">
        <v>2</v>
      </c>
      <c r="B851" s="63" t="s">
        <v>80</v>
      </c>
      <c r="C851" s="77">
        <v>70000</v>
      </c>
      <c r="D851" s="78">
        <v>0.75</v>
      </c>
      <c r="E851" s="79">
        <f>+(A851*C851)+(A851*C851*D851)</f>
        <v>245000</v>
      </c>
      <c r="F851" s="75">
        <v>100</v>
      </c>
      <c r="G851" s="65">
        <f>ROUND(E851/(F851),2)</f>
        <v>2450</v>
      </c>
      <c r="H851" s="73"/>
    </row>
    <row r="852" spans="1:8" ht="17.2" customHeight="1" x14ac:dyDescent="0.3">
      <c r="A852" s="63"/>
      <c r="B852" s="63"/>
      <c r="C852" s="63"/>
      <c r="D852" s="63"/>
      <c r="E852" s="64"/>
      <c r="F852" s="64"/>
      <c r="G852" s="64"/>
      <c r="H852" s="73"/>
    </row>
    <row r="853" spans="1:8" ht="17.2" customHeight="1" x14ac:dyDescent="0.3">
      <c r="A853" s="70"/>
      <c r="E853" s="71" t="s">
        <v>54</v>
      </c>
      <c r="F853" s="71"/>
      <c r="G853" s="71"/>
      <c r="H853" s="72">
        <f>ROUND(SUM(G850)+(G851),2)</f>
        <v>4550</v>
      </c>
    </row>
    <row r="854" spans="1:8" ht="17.2" customHeight="1" x14ac:dyDescent="0.3">
      <c r="A854" s="61" t="s">
        <v>55</v>
      </c>
      <c r="B854" s="525" t="s">
        <v>56</v>
      </c>
      <c r="C854" s="526"/>
      <c r="D854" s="526"/>
      <c r="E854" s="526"/>
      <c r="F854" s="526"/>
      <c r="G854" s="527"/>
      <c r="H854" s="73"/>
    </row>
    <row r="855" spans="1:8" ht="17.2" customHeight="1" x14ac:dyDescent="0.3">
      <c r="A855" s="63"/>
      <c r="B855" s="63" t="s">
        <v>34</v>
      </c>
      <c r="C855" s="62" t="s">
        <v>43</v>
      </c>
      <c r="D855" s="62" t="s">
        <v>57</v>
      </c>
      <c r="E855" s="62" t="s">
        <v>58</v>
      </c>
      <c r="F855" s="62"/>
      <c r="G855" s="64" t="s">
        <v>59</v>
      </c>
      <c r="H855" s="73"/>
    </row>
    <row r="856" spans="1:8" ht="17.2" customHeight="1" x14ac:dyDescent="0.3">
      <c r="A856" s="63"/>
      <c r="B856" s="63" t="s">
        <v>82</v>
      </c>
      <c r="C856" s="80" t="s">
        <v>83</v>
      </c>
      <c r="D856" s="63">
        <v>5.0000000000000001E-3</v>
      </c>
      <c r="E856" s="64">
        <v>50000</v>
      </c>
      <c r="F856" s="64"/>
      <c r="G856" s="64">
        <f>D856*E856</f>
        <v>250</v>
      </c>
      <c r="H856" s="73"/>
    </row>
    <row r="857" spans="1:8" ht="17.2" customHeight="1" x14ac:dyDescent="0.3">
      <c r="A857" s="63"/>
      <c r="B857" s="63"/>
      <c r="C857" s="81"/>
      <c r="D857" s="63"/>
      <c r="E857" s="64"/>
      <c r="F857" s="64"/>
      <c r="G857" s="64"/>
      <c r="H857" s="73"/>
    </row>
    <row r="858" spans="1:8" ht="17.2" customHeight="1" x14ac:dyDescent="0.3">
      <c r="A858" s="63"/>
      <c r="B858" s="63"/>
      <c r="C858" s="63"/>
      <c r="D858" s="63"/>
      <c r="E858" s="64"/>
      <c r="F858" s="64"/>
      <c r="G858" s="64"/>
      <c r="H858" s="73"/>
    </row>
    <row r="859" spans="1:8" ht="17.2" customHeight="1" x14ac:dyDescent="0.3">
      <c r="A859" s="70"/>
      <c r="E859" s="71" t="s">
        <v>54</v>
      </c>
      <c r="F859" s="71"/>
      <c r="G859" s="71"/>
      <c r="H859" s="119">
        <f>ROUND(SUM(G856)+(G857),0)</f>
        <v>250</v>
      </c>
    </row>
    <row r="860" spans="1:8" ht="17.2" customHeight="1" x14ac:dyDescent="0.3">
      <c r="A860" s="59"/>
      <c r="E860" s="71"/>
      <c r="F860" s="71"/>
      <c r="G860" s="71"/>
      <c r="H860" s="73"/>
    </row>
    <row r="861" spans="1:8" ht="17.2" customHeight="1" x14ac:dyDescent="0.3">
      <c r="A861" s="59"/>
      <c r="D861" s="82" t="s">
        <v>60</v>
      </c>
      <c r="E861" s="83"/>
      <c r="F861" s="83"/>
      <c r="G861" s="83"/>
      <c r="H861" s="72">
        <f>ROUND(SUM(H838:H860),2)</f>
        <v>14335</v>
      </c>
    </row>
    <row r="862" spans="1:8" ht="17.2" customHeight="1" x14ac:dyDescent="0.3">
      <c r="A862" s="59"/>
      <c r="E862" s="71"/>
      <c r="F862" s="71"/>
      <c r="G862" s="71"/>
      <c r="H862" s="73"/>
    </row>
    <row r="863" spans="1:8" ht="17.2" customHeight="1" x14ac:dyDescent="0.3">
      <c r="A863" s="61" t="s">
        <v>61</v>
      </c>
      <c r="B863" s="525" t="s">
        <v>62</v>
      </c>
      <c r="C863" s="526"/>
      <c r="D863" s="526"/>
      <c r="E863" s="526"/>
      <c r="F863" s="526"/>
      <c r="G863" s="527"/>
      <c r="H863" s="73"/>
    </row>
    <row r="864" spans="1:8" ht="17.2" customHeight="1" x14ac:dyDescent="0.3">
      <c r="A864" s="62"/>
      <c r="B864" s="518" t="s">
        <v>34</v>
      </c>
      <c r="C864" s="519"/>
      <c r="D864" s="518" t="s">
        <v>63</v>
      </c>
      <c r="E864" s="519"/>
      <c r="F864" s="528" t="s">
        <v>64</v>
      </c>
      <c r="G864" s="529"/>
      <c r="H864" s="73"/>
    </row>
    <row r="865" spans="1:8" ht="17.2" customHeight="1" x14ac:dyDescent="0.3">
      <c r="A865" s="63"/>
      <c r="B865" s="518" t="s">
        <v>20</v>
      </c>
      <c r="C865" s="519"/>
      <c r="D865" s="520">
        <v>0.28000000000000003</v>
      </c>
      <c r="E865" s="519"/>
      <c r="F865" s="521">
        <f>+H861*D865</f>
        <v>4013.8</v>
      </c>
      <c r="G865" s="522"/>
      <c r="H865" s="73"/>
    </row>
    <row r="866" spans="1:8" ht="17.2" customHeight="1" x14ac:dyDescent="0.3">
      <c r="A866" s="63"/>
      <c r="B866" s="518" t="s">
        <v>21</v>
      </c>
      <c r="C866" s="519"/>
      <c r="D866" s="520">
        <v>0.01</v>
      </c>
      <c r="E866" s="519"/>
      <c r="F866" s="521">
        <f>+H861*D866</f>
        <v>143.35</v>
      </c>
      <c r="G866" s="522"/>
      <c r="H866" s="73"/>
    </row>
    <row r="867" spans="1:8" ht="17.2" customHeight="1" x14ac:dyDescent="0.3">
      <c r="A867" s="63"/>
      <c r="B867" s="518" t="s">
        <v>22</v>
      </c>
      <c r="C867" s="519"/>
      <c r="D867" s="520">
        <v>0.03</v>
      </c>
      <c r="E867" s="519"/>
      <c r="F867" s="521">
        <f>+H861*D867</f>
        <v>430.05</v>
      </c>
      <c r="G867" s="522"/>
      <c r="H867" s="73"/>
    </row>
    <row r="868" spans="1:8" ht="17.2" customHeight="1" x14ac:dyDescent="0.3">
      <c r="A868" s="63"/>
      <c r="B868" s="518" t="s">
        <v>188</v>
      </c>
      <c r="C868" s="519"/>
      <c r="D868" s="520">
        <v>0.19</v>
      </c>
      <c r="E868" s="519"/>
      <c r="F868" s="521">
        <f>D868*F867</f>
        <v>81.709500000000006</v>
      </c>
      <c r="G868" s="522"/>
      <c r="H868" s="73"/>
    </row>
    <row r="869" spans="1:8" ht="17.2" customHeight="1" x14ac:dyDescent="0.3">
      <c r="A869" s="59"/>
      <c r="D869" s="82" t="s">
        <v>65</v>
      </c>
      <c r="E869" s="83"/>
      <c r="F869" s="83"/>
      <c r="G869" s="83"/>
      <c r="H869" s="72">
        <f>SUM(F865:G868)</f>
        <v>4668.9095000000007</v>
      </c>
    </row>
    <row r="870" spans="1:8" ht="17.2" customHeight="1" x14ac:dyDescent="0.3">
      <c r="A870" s="59"/>
      <c r="E870" s="71"/>
      <c r="F870" s="71"/>
      <c r="G870" s="71"/>
      <c r="H870" s="73"/>
    </row>
    <row r="871" spans="1:8" ht="17.2" customHeight="1" x14ac:dyDescent="0.3">
      <c r="A871" s="59"/>
      <c r="D871" s="82" t="s">
        <v>66</v>
      </c>
      <c r="E871" s="83"/>
      <c r="F871" s="83"/>
      <c r="G871" s="71"/>
      <c r="H871" s="72">
        <f>H861+H869</f>
        <v>19003.909500000002</v>
      </c>
    </row>
    <row r="872" spans="1:8" ht="17.2" customHeight="1" x14ac:dyDescent="0.3">
      <c r="A872" s="59"/>
      <c r="D872" s="82"/>
      <c r="E872" s="83"/>
      <c r="F872" s="83"/>
      <c r="G872" s="71"/>
      <c r="H872" s="73"/>
    </row>
    <row r="873" spans="1:8" ht="17.2" customHeight="1" x14ac:dyDescent="0.3">
      <c r="A873" s="59"/>
      <c r="E873" s="83"/>
      <c r="F873" s="83"/>
      <c r="G873" s="71"/>
      <c r="H873" s="73"/>
    </row>
    <row r="874" spans="1:8" ht="17.2" customHeight="1" x14ac:dyDescent="0.3">
      <c r="A874" s="84"/>
      <c r="B874" s="85"/>
      <c r="E874" s="46"/>
      <c r="F874" s="47"/>
      <c r="G874" s="48"/>
      <c r="H874" s="73"/>
    </row>
    <row r="875" spans="1:8" ht="17.2" customHeight="1" x14ac:dyDescent="0.3">
      <c r="A875" s="86" t="s">
        <v>67</v>
      </c>
      <c r="B875" s="50" t="s">
        <v>68</v>
      </c>
      <c r="E875" s="49" t="s">
        <v>27</v>
      </c>
      <c r="F875" s="50"/>
      <c r="G875" s="50"/>
      <c r="H875" s="87"/>
    </row>
    <row r="876" spans="1:8" ht="17.2" customHeight="1" x14ac:dyDescent="0.3">
      <c r="A876" s="88" t="s">
        <v>28</v>
      </c>
      <c r="B876" s="50"/>
      <c r="E876" s="50" t="str">
        <f ca="1">+$E$52</f>
        <v>SECRETARIO DE PLANEACION Y OBRAS PUBLICAS</v>
      </c>
      <c r="F876" s="50"/>
      <c r="G876" s="50"/>
      <c r="H876" s="87"/>
    </row>
    <row r="877" spans="1:8" ht="18.2" customHeight="1" x14ac:dyDescent="0.3">
      <c r="A877" s="89"/>
      <c r="B877" s="90"/>
      <c r="C877" s="85"/>
      <c r="D877" s="85"/>
      <c r="E877" s="90" t="str">
        <f ca="1">+$E$53</f>
        <v>SAN MIGUEL - PUTUMAYO</v>
      </c>
      <c r="F877" s="90"/>
      <c r="G877" s="90"/>
      <c r="H877" s="91"/>
    </row>
    <row r="878" spans="1:8" ht="17.2" customHeight="1" x14ac:dyDescent="0.3">
      <c r="A878" s="556"/>
      <c r="B878" s="557"/>
      <c r="C878" s="380" t="s">
        <v>2</v>
      </c>
      <c r="D878" s="382" t="s">
        <v>3</v>
      </c>
      <c r="E878" s="383"/>
      <c r="F878" s="1">
        <v>103</v>
      </c>
      <c r="G878" s="548"/>
      <c r="H878" s="549"/>
    </row>
    <row r="879" spans="1:8" ht="17.2" customHeight="1" x14ac:dyDescent="0.3">
      <c r="A879" s="558"/>
      <c r="B879" s="559"/>
      <c r="C879" s="381"/>
      <c r="D879" s="396" t="s">
        <v>4</v>
      </c>
      <c r="E879" s="397"/>
      <c r="F879" s="400">
        <v>51</v>
      </c>
      <c r="G879" s="550"/>
      <c r="H879" s="551"/>
    </row>
    <row r="880" spans="1:8" ht="17.2" customHeight="1" x14ac:dyDescent="0.3">
      <c r="A880" s="558"/>
      <c r="B880" s="559"/>
      <c r="C880" s="5" t="s">
        <v>5</v>
      </c>
      <c r="D880" s="398"/>
      <c r="E880" s="399"/>
      <c r="F880" s="401"/>
      <c r="G880" s="550"/>
      <c r="H880" s="551"/>
    </row>
    <row r="881" spans="1:8" ht="26.85" customHeight="1" x14ac:dyDescent="0.3">
      <c r="A881" s="558"/>
      <c r="B881" s="559"/>
      <c r="C881" s="55" t="s">
        <v>6</v>
      </c>
      <c r="D881" s="402" t="s">
        <v>7</v>
      </c>
      <c r="E881" s="403"/>
      <c r="F881" s="7">
        <v>1</v>
      </c>
      <c r="G881" s="550"/>
      <c r="H881" s="551"/>
    </row>
    <row r="882" spans="1:8" ht="17.2" customHeight="1" x14ac:dyDescent="0.3">
      <c r="A882" s="558"/>
      <c r="B882" s="559"/>
      <c r="C882" s="530" t="s">
        <v>8</v>
      </c>
      <c r="D882" s="532" t="s">
        <v>9</v>
      </c>
      <c r="E882" s="533"/>
      <c r="F882" s="5" t="s">
        <v>10</v>
      </c>
      <c r="G882" s="550"/>
      <c r="H882" s="551"/>
    </row>
    <row r="883" spans="1:8" ht="17.2" customHeight="1" x14ac:dyDescent="0.3">
      <c r="A883" s="560"/>
      <c r="B883" s="561"/>
      <c r="C883" s="531"/>
      <c r="D883" s="534"/>
      <c r="E883" s="535"/>
      <c r="F883" s="8">
        <f>$F$6</f>
        <v>45402</v>
      </c>
      <c r="G883" s="552"/>
      <c r="H883" s="553"/>
    </row>
    <row r="884" spans="1:8" ht="17.2" customHeight="1" thickBot="1" x14ac:dyDescent="0.35">
      <c r="A884" s="536"/>
      <c r="B884" s="537"/>
      <c r="C884" s="537"/>
      <c r="D884" s="537"/>
      <c r="E884" s="537"/>
      <c r="F884" s="537"/>
      <c r="G884" s="537"/>
      <c r="H884" s="538"/>
    </row>
    <row r="885" spans="1:8" ht="28.15" customHeight="1" thickBot="1" x14ac:dyDescent="0.35">
      <c r="A885" s="92">
        <v>4.2</v>
      </c>
      <c r="B885" s="539" t="str">
        <f>VLOOKUP(A885,PRESUPUESTO!$A$14:$G$71,2,)</f>
        <v xml:space="preserve">Suministro e instalacion de tuberia hidraulica en PVC presion 1/2"  incluido accesorios   </v>
      </c>
      <c r="C885" s="540"/>
      <c r="D885" s="540"/>
      <c r="E885" s="540"/>
      <c r="F885" s="541"/>
      <c r="G885" s="57" t="s">
        <v>31</v>
      </c>
      <c r="H885" s="58" t="str">
        <f>VLOOKUP(A885,PRESUPUESTO!$A$14:$G$71,4,)</f>
        <v>ML</v>
      </c>
    </row>
    <row r="886" spans="1:8" ht="17.2" customHeight="1" x14ac:dyDescent="0.3">
      <c r="A886" s="59"/>
      <c r="H886" s="60"/>
    </row>
    <row r="887" spans="1:8" ht="17.2" customHeight="1" x14ac:dyDescent="0.3">
      <c r="A887" s="61" t="s">
        <v>32</v>
      </c>
      <c r="B887" s="525" t="s">
        <v>33</v>
      </c>
      <c r="C887" s="526"/>
      <c r="D887" s="526"/>
      <c r="E887" s="526"/>
      <c r="F887" s="526"/>
      <c r="G887" s="527"/>
      <c r="H887" s="60"/>
    </row>
    <row r="888" spans="1:8" ht="17.2" customHeight="1" x14ac:dyDescent="0.3">
      <c r="A888" s="62"/>
      <c r="B888" s="518" t="s">
        <v>34</v>
      </c>
      <c r="C888" s="519"/>
      <c r="D888" s="62" t="s">
        <v>35</v>
      </c>
      <c r="E888" s="62" t="s">
        <v>69</v>
      </c>
      <c r="F888" s="62" t="s">
        <v>70</v>
      </c>
      <c r="G888" s="62" t="s">
        <v>38</v>
      </c>
      <c r="H888" s="60"/>
    </row>
    <row r="889" spans="1:8" ht="17.2" customHeight="1" x14ac:dyDescent="0.3">
      <c r="A889" s="63"/>
      <c r="B889" s="542" t="s">
        <v>39</v>
      </c>
      <c r="C889" s="543"/>
      <c r="D889" s="63"/>
      <c r="E889" s="64"/>
      <c r="F889" s="64">
        <v>0.1</v>
      </c>
      <c r="G889" s="65">
        <f>ROUND(H906*F889,2)</f>
        <v>455</v>
      </c>
      <c r="H889" s="66"/>
    </row>
    <row r="890" spans="1:8" ht="17.2" customHeight="1" x14ac:dyDescent="0.3">
      <c r="A890" s="63"/>
      <c r="B890" s="542"/>
      <c r="C890" s="543"/>
      <c r="D890" s="62"/>
      <c r="E890" s="68"/>
      <c r="F890" s="64"/>
      <c r="G890" s="69"/>
      <c r="H890" s="66"/>
    </row>
    <row r="891" spans="1:8" ht="17.2" customHeight="1" x14ac:dyDescent="0.3">
      <c r="A891" s="70"/>
      <c r="E891" s="71" t="s">
        <v>40</v>
      </c>
      <c r="F891" s="71"/>
      <c r="G891" s="71"/>
      <c r="H891" s="72">
        <f>ROUND(SUM(G889:G890),2)</f>
        <v>455</v>
      </c>
    </row>
    <row r="892" spans="1:8" ht="17.2" customHeight="1" x14ac:dyDescent="0.3">
      <c r="A892" s="61" t="s">
        <v>41</v>
      </c>
      <c r="B892" s="525" t="s">
        <v>42</v>
      </c>
      <c r="C892" s="526"/>
      <c r="D892" s="526"/>
      <c r="E892" s="526"/>
      <c r="F892" s="526"/>
      <c r="G892" s="527"/>
      <c r="H892" s="73"/>
    </row>
    <row r="893" spans="1:8" ht="17.2" customHeight="1" x14ac:dyDescent="0.3">
      <c r="A893" s="62"/>
      <c r="B893" s="518" t="s">
        <v>34</v>
      </c>
      <c r="C893" s="519"/>
      <c r="D893" s="62" t="s">
        <v>43</v>
      </c>
      <c r="E893" s="74" t="s">
        <v>44</v>
      </c>
      <c r="F893" s="74" t="s">
        <v>45</v>
      </c>
      <c r="G893" s="74" t="s">
        <v>38</v>
      </c>
      <c r="H893" s="73"/>
    </row>
    <row r="894" spans="1:8" ht="15.05" x14ac:dyDescent="0.3">
      <c r="A894" s="63"/>
      <c r="B894" s="544" t="s">
        <v>248</v>
      </c>
      <c r="C894" s="545"/>
      <c r="D894" s="270" t="s">
        <v>233</v>
      </c>
      <c r="E894" s="271">
        <v>1</v>
      </c>
      <c r="F894" s="95">
        <v>4000</v>
      </c>
      <c r="G894" s="120">
        <f>ROUND(E894*F894,2)</f>
        <v>4000</v>
      </c>
      <c r="H894" s="73"/>
    </row>
    <row r="895" spans="1:8" ht="17.2" customHeight="1" x14ac:dyDescent="0.3">
      <c r="A895" s="63"/>
      <c r="B895" s="546" t="s">
        <v>209</v>
      </c>
      <c r="C895" s="547"/>
      <c r="D895" s="270" t="s">
        <v>208</v>
      </c>
      <c r="E895" s="270">
        <v>0.01</v>
      </c>
      <c r="F895" s="95">
        <v>150000</v>
      </c>
      <c r="G895" s="67">
        <f t="shared" ref="G895:G896" si="7">ROUND(E895*F895,2)</f>
        <v>1500</v>
      </c>
      <c r="H895" s="73"/>
    </row>
    <row r="896" spans="1:8" ht="17.2" customHeight="1" x14ac:dyDescent="0.3">
      <c r="A896" s="63"/>
      <c r="B896" s="546" t="s">
        <v>210</v>
      </c>
      <c r="C896" s="547"/>
      <c r="D896" s="270" t="s">
        <v>208</v>
      </c>
      <c r="E896" s="270">
        <v>0.01</v>
      </c>
      <c r="F896" s="95">
        <v>110000</v>
      </c>
      <c r="G896" s="67">
        <f t="shared" si="7"/>
        <v>1100</v>
      </c>
      <c r="H896" s="73"/>
    </row>
    <row r="897" spans="1:8" ht="17.2" customHeight="1" x14ac:dyDescent="0.3">
      <c r="A897" s="63"/>
      <c r="B897" s="523" t="s">
        <v>245</v>
      </c>
      <c r="C897" s="524"/>
      <c r="D897" s="93" t="s">
        <v>212</v>
      </c>
      <c r="E897" s="94">
        <v>0.5</v>
      </c>
      <c r="F897" s="95">
        <v>500</v>
      </c>
      <c r="G897" s="67">
        <f>E897*F897</f>
        <v>250</v>
      </c>
      <c r="H897" s="73"/>
    </row>
    <row r="898" spans="1:8" ht="17.2" customHeight="1" x14ac:dyDescent="0.3">
      <c r="A898" s="63"/>
      <c r="B898" s="523" t="s">
        <v>246</v>
      </c>
      <c r="C898" s="524"/>
      <c r="D898" s="93" t="s">
        <v>212</v>
      </c>
      <c r="E898" s="94">
        <v>0.3</v>
      </c>
      <c r="F898" s="95">
        <v>600</v>
      </c>
      <c r="G898" s="67">
        <f>E898*F898</f>
        <v>180</v>
      </c>
      <c r="H898" s="73"/>
    </row>
    <row r="899" spans="1:8" ht="17.2" customHeight="1" x14ac:dyDescent="0.3">
      <c r="A899" s="63"/>
      <c r="B899" s="523" t="s">
        <v>247</v>
      </c>
      <c r="C899" s="524"/>
      <c r="D899" s="93" t="s">
        <v>212</v>
      </c>
      <c r="E899" s="94">
        <v>0.1</v>
      </c>
      <c r="F899" s="95">
        <v>500</v>
      </c>
      <c r="G899" s="67">
        <f>E899*F899</f>
        <v>50</v>
      </c>
      <c r="H899" s="73"/>
    </row>
    <row r="900" spans="1:8" ht="17.2" customHeight="1" x14ac:dyDescent="0.3">
      <c r="A900" s="70" t="s">
        <v>46</v>
      </c>
      <c r="E900" s="71" t="s">
        <v>47</v>
      </c>
      <c r="F900" s="71"/>
      <c r="G900" s="71"/>
      <c r="H900" s="76">
        <f>ROUND(SUM(G894:G899),2)</f>
        <v>7080</v>
      </c>
    </row>
    <row r="901" spans="1:8" ht="17.2" customHeight="1" x14ac:dyDescent="0.3">
      <c r="A901" s="61" t="s">
        <v>48</v>
      </c>
      <c r="B901" s="525" t="s">
        <v>49</v>
      </c>
      <c r="C901" s="526"/>
      <c r="D901" s="526"/>
      <c r="E901" s="526"/>
      <c r="F901" s="526"/>
      <c r="G901" s="527"/>
      <c r="H901" s="73"/>
    </row>
    <row r="902" spans="1:8" ht="17.2" customHeight="1" x14ac:dyDescent="0.3">
      <c r="A902" s="62" t="s">
        <v>50</v>
      </c>
      <c r="B902" s="62" t="s">
        <v>34</v>
      </c>
      <c r="C902" s="62" t="s">
        <v>51</v>
      </c>
      <c r="D902" s="62" t="s">
        <v>52</v>
      </c>
      <c r="E902" s="74" t="s">
        <v>53</v>
      </c>
      <c r="F902" s="64" t="s">
        <v>238</v>
      </c>
      <c r="G902" s="64" t="s">
        <v>38</v>
      </c>
      <c r="H902" s="73"/>
    </row>
    <row r="903" spans="1:8" ht="17.2" customHeight="1" x14ac:dyDescent="0.3">
      <c r="A903" s="62">
        <v>1</v>
      </c>
      <c r="B903" s="63" t="s">
        <v>79</v>
      </c>
      <c r="C903" s="77">
        <v>120000</v>
      </c>
      <c r="D903" s="78">
        <v>0.75</v>
      </c>
      <c r="E903" s="79">
        <f>+(A903*C903)+(A903*C903*D903)</f>
        <v>210000</v>
      </c>
      <c r="F903" s="75">
        <v>100</v>
      </c>
      <c r="G903" s="65">
        <f>ROUND(E903/(F903),2)</f>
        <v>2100</v>
      </c>
      <c r="H903" s="73"/>
    </row>
    <row r="904" spans="1:8" ht="17.2" customHeight="1" x14ac:dyDescent="0.3">
      <c r="A904" s="62">
        <v>2</v>
      </c>
      <c r="B904" s="63" t="s">
        <v>80</v>
      </c>
      <c r="C904" s="77">
        <v>70000</v>
      </c>
      <c r="D904" s="78">
        <v>0.75</v>
      </c>
      <c r="E904" s="79">
        <f>+(A904*C904)+(A904*C904*D904)</f>
        <v>245000</v>
      </c>
      <c r="F904" s="75">
        <v>100</v>
      </c>
      <c r="G904" s="65">
        <f>ROUND(E904/(F904),2)</f>
        <v>2450</v>
      </c>
      <c r="H904" s="73"/>
    </row>
    <row r="905" spans="1:8" ht="17.2" customHeight="1" x14ac:dyDescent="0.3">
      <c r="A905" s="63"/>
      <c r="B905" s="63"/>
      <c r="C905" s="63"/>
      <c r="D905" s="63"/>
      <c r="E905" s="64"/>
      <c r="F905" s="64"/>
      <c r="G905" s="64"/>
      <c r="H905" s="73"/>
    </row>
    <row r="906" spans="1:8" ht="17.2" customHeight="1" x14ac:dyDescent="0.3">
      <c r="A906" s="70"/>
      <c r="E906" s="71" t="s">
        <v>54</v>
      </c>
      <c r="F906" s="71"/>
      <c r="G906" s="71"/>
      <c r="H906" s="72">
        <f>ROUND(SUM(G903)+(G904),2)</f>
        <v>4550</v>
      </c>
    </row>
    <row r="907" spans="1:8" ht="17.2" customHeight="1" x14ac:dyDescent="0.3">
      <c r="A907" s="61" t="s">
        <v>55</v>
      </c>
      <c r="B907" s="525" t="s">
        <v>56</v>
      </c>
      <c r="C907" s="526"/>
      <c r="D907" s="526"/>
      <c r="E907" s="526"/>
      <c r="F907" s="526"/>
      <c r="G907" s="527"/>
      <c r="H907" s="73"/>
    </row>
    <row r="908" spans="1:8" ht="17.2" customHeight="1" x14ac:dyDescent="0.3">
      <c r="A908" s="63"/>
      <c r="B908" s="63" t="s">
        <v>34</v>
      </c>
      <c r="C908" s="62" t="s">
        <v>43</v>
      </c>
      <c r="D908" s="62" t="s">
        <v>57</v>
      </c>
      <c r="E908" s="62" t="s">
        <v>58</v>
      </c>
      <c r="F908" s="62"/>
      <c r="G908" s="64" t="s">
        <v>59</v>
      </c>
      <c r="H908" s="73"/>
    </row>
    <row r="909" spans="1:8" ht="17.2" customHeight="1" x14ac:dyDescent="0.3">
      <c r="A909" s="63"/>
      <c r="B909" s="63" t="s">
        <v>82</v>
      </c>
      <c r="C909" s="80" t="s">
        <v>83</v>
      </c>
      <c r="D909" s="63">
        <v>5.0000000000000001E-3</v>
      </c>
      <c r="E909" s="64">
        <v>50000</v>
      </c>
      <c r="F909" s="64"/>
      <c r="G909" s="64">
        <f>D909*E909</f>
        <v>250</v>
      </c>
      <c r="H909" s="73"/>
    </row>
    <row r="910" spans="1:8" ht="17.2" customHeight="1" x14ac:dyDescent="0.3">
      <c r="A910" s="63"/>
      <c r="B910" s="63"/>
      <c r="C910" s="81"/>
      <c r="D910" s="63"/>
      <c r="E910" s="64"/>
      <c r="F910" s="64"/>
      <c r="G910" s="64"/>
      <c r="H910" s="73"/>
    </row>
    <row r="911" spans="1:8" ht="17.2" customHeight="1" x14ac:dyDescent="0.3">
      <c r="A911" s="63"/>
      <c r="B911" s="63"/>
      <c r="C911" s="63"/>
      <c r="D911" s="63"/>
      <c r="E911" s="64"/>
      <c r="F911" s="64"/>
      <c r="G911" s="64"/>
      <c r="H911" s="73"/>
    </row>
    <row r="912" spans="1:8" ht="17.2" customHeight="1" x14ac:dyDescent="0.3">
      <c r="A912" s="70"/>
      <c r="E912" s="71" t="s">
        <v>54</v>
      </c>
      <c r="F912" s="71"/>
      <c r="G912" s="71"/>
      <c r="H912" s="119">
        <f>ROUND(SUM(G909)+(G910),0)</f>
        <v>250</v>
      </c>
    </row>
    <row r="913" spans="1:8" ht="17.2" customHeight="1" x14ac:dyDescent="0.3">
      <c r="A913" s="59"/>
      <c r="E913" s="71"/>
      <c r="F913" s="71"/>
      <c r="G913" s="71"/>
      <c r="H913" s="73"/>
    </row>
    <row r="914" spans="1:8" ht="17.2" customHeight="1" x14ac:dyDescent="0.3">
      <c r="A914" s="59"/>
      <c r="D914" s="82" t="s">
        <v>60</v>
      </c>
      <c r="E914" s="83"/>
      <c r="F914" s="83"/>
      <c r="G914" s="83"/>
      <c r="H914" s="72">
        <f>ROUND(SUM(H891:H913),2)</f>
        <v>12335</v>
      </c>
    </row>
    <row r="915" spans="1:8" ht="17.2" customHeight="1" x14ac:dyDescent="0.3">
      <c r="A915" s="59"/>
      <c r="E915" s="71"/>
      <c r="F915" s="71"/>
      <c r="G915" s="71"/>
      <c r="H915" s="73"/>
    </row>
    <row r="916" spans="1:8" ht="17.2" customHeight="1" x14ac:dyDescent="0.3">
      <c r="A916" s="61" t="s">
        <v>61</v>
      </c>
      <c r="B916" s="525" t="s">
        <v>62</v>
      </c>
      <c r="C916" s="526"/>
      <c r="D916" s="526"/>
      <c r="E916" s="526"/>
      <c r="F916" s="526"/>
      <c r="G916" s="527"/>
      <c r="H916" s="73"/>
    </row>
    <row r="917" spans="1:8" ht="17.2" customHeight="1" x14ac:dyDescent="0.3">
      <c r="A917" s="62"/>
      <c r="B917" s="518" t="s">
        <v>34</v>
      </c>
      <c r="C917" s="519"/>
      <c r="D917" s="518" t="s">
        <v>63</v>
      </c>
      <c r="E917" s="519"/>
      <c r="F917" s="528" t="s">
        <v>64</v>
      </c>
      <c r="G917" s="529"/>
      <c r="H917" s="73"/>
    </row>
    <row r="918" spans="1:8" ht="17.2" customHeight="1" x14ac:dyDescent="0.3">
      <c r="A918" s="63"/>
      <c r="B918" s="518" t="s">
        <v>20</v>
      </c>
      <c r="C918" s="519"/>
      <c r="D918" s="520">
        <v>0.28000000000000003</v>
      </c>
      <c r="E918" s="519"/>
      <c r="F918" s="521">
        <f>+H914*D918</f>
        <v>3453.8</v>
      </c>
      <c r="G918" s="522"/>
      <c r="H918" s="73"/>
    </row>
    <row r="919" spans="1:8" ht="17.2" customHeight="1" x14ac:dyDescent="0.3">
      <c r="A919" s="63"/>
      <c r="B919" s="518" t="s">
        <v>21</v>
      </c>
      <c r="C919" s="519"/>
      <c r="D919" s="520">
        <v>0.01</v>
      </c>
      <c r="E919" s="519"/>
      <c r="F919" s="521">
        <f>+H914*D919</f>
        <v>123.35000000000001</v>
      </c>
      <c r="G919" s="522"/>
      <c r="H919" s="73"/>
    </row>
    <row r="920" spans="1:8" ht="17.2" customHeight="1" x14ac:dyDescent="0.3">
      <c r="A920" s="63"/>
      <c r="B920" s="518" t="s">
        <v>22</v>
      </c>
      <c r="C920" s="519"/>
      <c r="D920" s="520">
        <v>0.03</v>
      </c>
      <c r="E920" s="519"/>
      <c r="F920" s="521">
        <f>+H914*D920</f>
        <v>370.05</v>
      </c>
      <c r="G920" s="522"/>
      <c r="H920" s="73"/>
    </row>
    <row r="921" spans="1:8" ht="17.2" customHeight="1" x14ac:dyDescent="0.3">
      <c r="A921" s="63"/>
      <c r="B921" s="518" t="s">
        <v>188</v>
      </c>
      <c r="C921" s="519"/>
      <c r="D921" s="520">
        <v>0.19</v>
      </c>
      <c r="E921" s="519"/>
      <c r="F921" s="521">
        <f>D921*F920</f>
        <v>70.3095</v>
      </c>
      <c r="G921" s="522"/>
      <c r="H921" s="73"/>
    </row>
    <row r="922" spans="1:8" ht="17.2" customHeight="1" x14ac:dyDescent="0.3">
      <c r="A922" s="59"/>
      <c r="D922" s="82" t="s">
        <v>65</v>
      </c>
      <c r="E922" s="83"/>
      <c r="F922" s="83"/>
      <c r="G922" s="83"/>
      <c r="H922" s="72">
        <f>SUM(F918:G921)</f>
        <v>4017.5095000000001</v>
      </c>
    </row>
    <row r="923" spans="1:8" ht="17.2" customHeight="1" x14ac:dyDescent="0.3">
      <c r="A923" s="59"/>
      <c r="E923" s="71"/>
      <c r="F923" s="71"/>
      <c r="G923" s="71"/>
      <c r="H923" s="73"/>
    </row>
    <row r="924" spans="1:8" ht="17.2" customHeight="1" x14ac:dyDescent="0.3">
      <c r="A924" s="59"/>
      <c r="D924" s="82" t="s">
        <v>66</v>
      </c>
      <c r="E924" s="83"/>
      <c r="F924" s="83"/>
      <c r="G924" s="71"/>
      <c r="H924" s="72">
        <f>H914+H922</f>
        <v>16352.5095</v>
      </c>
    </row>
    <row r="925" spans="1:8" ht="17.2" customHeight="1" x14ac:dyDescent="0.3">
      <c r="A925" s="59"/>
      <c r="D925" s="82"/>
      <c r="E925" s="83"/>
      <c r="F925" s="83"/>
      <c r="G925" s="71"/>
      <c r="H925" s="73"/>
    </row>
    <row r="926" spans="1:8" ht="17.2" customHeight="1" x14ac:dyDescent="0.3">
      <c r="A926" s="59"/>
      <c r="E926" s="83"/>
      <c r="F926" s="83"/>
      <c r="G926" s="71"/>
      <c r="H926" s="73"/>
    </row>
    <row r="927" spans="1:8" ht="17.2" customHeight="1" x14ac:dyDescent="0.3">
      <c r="A927" s="84"/>
      <c r="B927" s="85"/>
      <c r="E927" s="46"/>
      <c r="F927" s="47"/>
      <c r="G927" s="48"/>
      <c r="H927" s="73"/>
    </row>
    <row r="928" spans="1:8" ht="17.2" customHeight="1" x14ac:dyDescent="0.3">
      <c r="A928" s="86" t="s">
        <v>67</v>
      </c>
      <c r="B928" s="50" t="s">
        <v>68</v>
      </c>
      <c r="E928" s="49" t="s">
        <v>27</v>
      </c>
      <c r="F928" s="50"/>
      <c r="G928" s="50"/>
      <c r="H928" s="87"/>
    </row>
    <row r="929" spans="1:8" ht="17.2" customHeight="1" x14ac:dyDescent="0.3">
      <c r="A929" s="88" t="s">
        <v>28</v>
      </c>
      <c r="B929" s="50"/>
      <c r="E929" s="50" t="str">
        <f ca="1">+$E$52</f>
        <v>SECRETARIO DE PLANEACION Y OBRAS PUBLICAS</v>
      </c>
      <c r="F929" s="50"/>
      <c r="G929" s="50"/>
      <c r="H929" s="87"/>
    </row>
    <row r="930" spans="1:8" ht="18.2" customHeight="1" x14ac:dyDescent="0.3">
      <c r="A930" s="89"/>
      <c r="B930" s="90"/>
      <c r="C930" s="85"/>
      <c r="D930" s="85"/>
      <c r="E930" s="90" t="str">
        <f ca="1">+$E$53</f>
        <v>SAN MIGUEL - PUTUMAYO</v>
      </c>
      <c r="F930" s="90"/>
      <c r="G930" s="90"/>
      <c r="H930" s="91"/>
    </row>
    <row r="931" spans="1:8" ht="17.2" customHeight="1" x14ac:dyDescent="0.3">
      <c r="A931" s="556"/>
      <c r="B931" s="557"/>
      <c r="C931" s="380" t="s">
        <v>2</v>
      </c>
      <c r="D931" s="382" t="s">
        <v>3</v>
      </c>
      <c r="E931" s="383"/>
      <c r="F931" s="1">
        <v>103</v>
      </c>
      <c r="G931" s="548"/>
      <c r="H931" s="549"/>
    </row>
    <row r="932" spans="1:8" ht="17.2" customHeight="1" x14ac:dyDescent="0.3">
      <c r="A932" s="558"/>
      <c r="B932" s="559"/>
      <c r="C932" s="381"/>
      <c r="D932" s="396" t="s">
        <v>4</v>
      </c>
      <c r="E932" s="397"/>
      <c r="F932" s="400">
        <v>51</v>
      </c>
      <c r="G932" s="550"/>
      <c r="H932" s="551"/>
    </row>
    <row r="933" spans="1:8" ht="17.2" customHeight="1" x14ac:dyDescent="0.3">
      <c r="A933" s="558"/>
      <c r="B933" s="559"/>
      <c r="C933" s="5" t="s">
        <v>5</v>
      </c>
      <c r="D933" s="398"/>
      <c r="E933" s="399"/>
      <c r="F933" s="401"/>
      <c r="G933" s="550"/>
      <c r="H933" s="551"/>
    </row>
    <row r="934" spans="1:8" ht="26.85" customHeight="1" x14ac:dyDescent="0.3">
      <c r="A934" s="558"/>
      <c r="B934" s="559"/>
      <c r="C934" s="55" t="s">
        <v>6</v>
      </c>
      <c r="D934" s="402" t="s">
        <v>7</v>
      </c>
      <c r="E934" s="403"/>
      <c r="F934" s="7">
        <v>1</v>
      </c>
      <c r="G934" s="550"/>
      <c r="H934" s="551"/>
    </row>
    <row r="935" spans="1:8" ht="17.2" customHeight="1" x14ac:dyDescent="0.3">
      <c r="A935" s="558"/>
      <c r="B935" s="559"/>
      <c r="C935" s="530" t="s">
        <v>8</v>
      </c>
      <c r="D935" s="532" t="s">
        <v>9</v>
      </c>
      <c r="E935" s="533"/>
      <c r="F935" s="5" t="s">
        <v>10</v>
      </c>
      <c r="G935" s="550"/>
      <c r="H935" s="551"/>
    </row>
    <row r="936" spans="1:8" ht="17.2" customHeight="1" x14ac:dyDescent="0.3">
      <c r="A936" s="560"/>
      <c r="B936" s="561"/>
      <c r="C936" s="531"/>
      <c r="D936" s="534"/>
      <c r="E936" s="535"/>
      <c r="F936" s="8">
        <f>$F$6</f>
        <v>45402</v>
      </c>
      <c r="G936" s="552"/>
      <c r="H936" s="553"/>
    </row>
    <row r="937" spans="1:8" ht="17.2" customHeight="1" thickBot="1" x14ac:dyDescent="0.35">
      <c r="A937" s="536"/>
      <c r="B937" s="537"/>
      <c r="C937" s="537"/>
      <c r="D937" s="537"/>
      <c r="E937" s="537"/>
      <c r="F937" s="537"/>
      <c r="G937" s="537"/>
      <c r="H937" s="538"/>
    </row>
    <row r="938" spans="1:8" ht="28.15" customHeight="1" thickBot="1" x14ac:dyDescent="0.35">
      <c r="A938" s="92">
        <v>4.3</v>
      </c>
      <c r="B938" s="539" t="str">
        <f>VLOOKUP(A938,PRESUPUESTO!$A$14:$G$71,2,)</f>
        <v xml:space="preserve">Suministro e instalacion de  tubieria sanitaria en PVC 4" incluido accesorios </v>
      </c>
      <c r="C938" s="540"/>
      <c r="D938" s="540"/>
      <c r="E938" s="540"/>
      <c r="F938" s="541"/>
      <c r="G938" s="57" t="s">
        <v>31</v>
      </c>
      <c r="H938" s="58" t="str">
        <f>VLOOKUP(A938,PRESUPUESTO!$A$14:$G$71,4,)</f>
        <v>ML</v>
      </c>
    </row>
    <row r="939" spans="1:8" ht="17.2" customHeight="1" x14ac:dyDescent="0.3">
      <c r="A939" s="59"/>
      <c r="H939" s="60"/>
    </row>
    <row r="940" spans="1:8" ht="17.2" customHeight="1" x14ac:dyDescent="0.3">
      <c r="A940" s="61" t="s">
        <v>32</v>
      </c>
      <c r="B940" s="525" t="s">
        <v>33</v>
      </c>
      <c r="C940" s="526"/>
      <c r="D940" s="526"/>
      <c r="E940" s="526"/>
      <c r="F940" s="526"/>
      <c r="G940" s="527"/>
      <c r="H940" s="60"/>
    </row>
    <row r="941" spans="1:8" ht="17.2" customHeight="1" x14ac:dyDescent="0.3">
      <c r="A941" s="62"/>
      <c r="B941" s="518" t="s">
        <v>34</v>
      </c>
      <c r="C941" s="519"/>
      <c r="D941" s="62" t="s">
        <v>35</v>
      </c>
      <c r="E941" s="62" t="s">
        <v>69</v>
      </c>
      <c r="F941" s="62" t="s">
        <v>70</v>
      </c>
      <c r="G941" s="62" t="s">
        <v>38</v>
      </c>
      <c r="H941" s="60"/>
    </row>
    <row r="942" spans="1:8" ht="17.2" customHeight="1" x14ac:dyDescent="0.3">
      <c r="A942" s="63"/>
      <c r="B942" s="542" t="s">
        <v>39</v>
      </c>
      <c r="C942" s="543"/>
      <c r="D942" s="63"/>
      <c r="E942" s="64"/>
      <c r="F942" s="64">
        <v>0.1</v>
      </c>
      <c r="G942" s="65">
        <f>ROUND(H959*F942,2)</f>
        <v>1820</v>
      </c>
      <c r="H942" s="66"/>
    </row>
    <row r="943" spans="1:8" ht="17.2" customHeight="1" x14ac:dyDescent="0.3">
      <c r="A943" s="63"/>
      <c r="B943" s="542"/>
      <c r="C943" s="543"/>
      <c r="D943" s="62"/>
      <c r="E943" s="68"/>
      <c r="F943" s="64"/>
      <c r="G943" s="69"/>
      <c r="H943" s="66"/>
    </row>
    <row r="944" spans="1:8" ht="17.2" customHeight="1" x14ac:dyDescent="0.3">
      <c r="A944" s="70"/>
      <c r="E944" s="71" t="s">
        <v>40</v>
      </c>
      <c r="F944" s="71"/>
      <c r="G944" s="71"/>
      <c r="H944" s="72">
        <f>ROUND(SUM(G942:G943),2)</f>
        <v>1820</v>
      </c>
    </row>
    <row r="945" spans="1:8" ht="17.2" customHeight="1" x14ac:dyDescent="0.3">
      <c r="A945" s="61" t="s">
        <v>41</v>
      </c>
      <c r="B945" s="525" t="s">
        <v>42</v>
      </c>
      <c r="C945" s="526"/>
      <c r="D945" s="526"/>
      <c r="E945" s="526"/>
      <c r="F945" s="526"/>
      <c r="G945" s="527"/>
      <c r="H945" s="73"/>
    </row>
    <row r="946" spans="1:8" ht="17.2" customHeight="1" x14ac:dyDescent="0.3">
      <c r="A946" s="62"/>
      <c r="B946" s="518" t="s">
        <v>34</v>
      </c>
      <c r="C946" s="519"/>
      <c r="D946" s="62" t="s">
        <v>43</v>
      </c>
      <c r="E946" s="74" t="s">
        <v>44</v>
      </c>
      <c r="F946" s="74" t="s">
        <v>45</v>
      </c>
      <c r="G946" s="74" t="s">
        <v>38</v>
      </c>
      <c r="H946" s="73"/>
    </row>
    <row r="947" spans="1:8" ht="15.05" x14ac:dyDescent="0.3">
      <c r="A947" s="63"/>
      <c r="B947" s="544" t="s">
        <v>249</v>
      </c>
      <c r="C947" s="545"/>
      <c r="D947" s="270" t="s">
        <v>233</v>
      </c>
      <c r="E947" s="271">
        <v>1</v>
      </c>
      <c r="F947" s="95">
        <v>20000</v>
      </c>
      <c r="G947" s="120">
        <f>ROUND(E947*F947,2)</f>
        <v>20000</v>
      </c>
      <c r="H947" s="73"/>
    </row>
    <row r="948" spans="1:8" ht="17.2" customHeight="1" x14ac:dyDescent="0.3">
      <c r="A948" s="63"/>
      <c r="B948" s="546" t="s">
        <v>209</v>
      </c>
      <c r="C948" s="547"/>
      <c r="D948" s="270" t="s">
        <v>208</v>
      </c>
      <c r="E948" s="270">
        <v>0.01</v>
      </c>
      <c r="F948" s="95">
        <v>150000</v>
      </c>
      <c r="G948" s="67">
        <f t="shared" ref="G948:G949" si="8">ROUND(E948*F948,2)</f>
        <v>1500</v>
      </c>
      <c r="H948" s="73"/>
    </row>
    <row r="949" spans="1:8" ht="17.2" customHeight="1" x14ac:dyDescent="0.3">
      <c r="A949" s="63"/>
      <c r="B949" s="546" t="s">
        <v>210</v>
      </c>
      <c r="C949" s="547"/>
      <c r="D949" s="270" t="s">
        <v>208</v>
      </c>
      <c r="E949" s="270">
        <v>0.01</v>
      </c>
      <c r="F949" s="95">
        <v>110000</v>
      </c>
      <c r="G949" s="67">
        <f t="shared" si="8"/>
        <v>1100</v>
      </c>
      <c r="H949" s="73"/>
    </row>
    <row r="950" spans="1:8" ht="17.2" customHeight="1" x14ac:dyDescent="0.3">
      <c r="A950" s="63"/>
      <c r="B950" s="523" t="s">
        <v>250</v>
      </c>
      <c r="C950" s="524"/>
      <c r="D950" s="93" t="s">
        <v>212</v>
      </c>
      <c r="E950" s="94">
        <v>0.5</v>
      </c>
      <c r="F950" s="95">
        <v>12000</v>
      </c>
      <c r="G950" s="67">
        <f>E950*F950</f>
        <v>6000</v>
      </c>
      <c r="H950" s="73"/>
    </row>
    <row r="951" spans="1:8" ht="17.2" customHeight="1" x14ac:dyDescent="0.3">
      <c r="A951" s="63"/>
      <c r="B951" s="523" t="s">
        <v>251</v>
      </c>
      <c r="C951" s="524"/>
      <c r="D951" s="93" t="s">
        <v>212</v>
      </c>
      <c r="E951" s="94">
        <v>0.3</v>
      </c>
      <c r="F951" s="95">
        <v>18000</v>
      </c>
      <c r="G951" s="67">
        <f>E951*F951</f>
        <v>5400</v>
      </c>
      <c r="H951" s="73"/>
    </row>
    <row r="952" spans="1:8" ht="17.2" customHeight="1" x14ac:dyDescent="0.3">
      <c r="A952" s="63"/>
      <c r="B952" s="523" t="s">
        <v>247</v>
      </c>
      <c r="C952" s="524"/>
      <c r="D952" s="93" t="s">
        <v>212</v>
      </c>
      <c r="E952" s="94">
        <v>0.1</v>
      </c>
      <c r="F952" s="95">
        <v>6000</v>
      </c>
      <c r="G952" s="67">
        <f>E952*F952</f>
        <v>600</v>
      </c>
      <c r="H952" s="73"/>
    </row>
    <row r="953" spans="1:8" ht="17.2" customHeight="1" x14ac:dyDescent="0.3">
      <c r="A953" s="70" t="s">
        <v>46</v>
      </c>
      <c r="E953" s="71" t="s">
        <v>47</v>
      </c>
      <c r="F953" s="71"/>
      <c r="G953" s="71"/>
      <c r="H953" s="76">
        <f>ROUND(SUM(G947:G952),2)</f>
        <v>34600</v>
      </c>
    </row>
    <row r="954" spans="1:8" ht="17.2" customHeight="1" x14ac:dyDescent="0.3">
      <c r="A954" s="61" t="s">
        <v>48</v>
      </c>
      <c r="B954" s="525" t="s">
        <v>49</v>
      </c>
      <c r="C954" s="526"/>
      <c r="D954" s="526"/>
      <c r="E954" s="526"/>
      <c r="F954" s="526"/>
      <c r="G954" s="527"/>
      <c r="H954" s="73"/>
    </row>
    <row r="955" spans="1:8" ht="17.2" customHeight="1" x14ac:dyDescent="0.3">
      <c r="A955" s="62" t="s">
        <v>50</v>
      </c>
      <c r="B955" s="62" t="s">
        <v>34</v>
      </c>
      <c r="C955" s="62" t="s">
        <v>51</v>
      </c>
      <c r="D955" s="62" t="s">
        <v>52</v>
      </c>
      <c r="E955" s="74" t="s">
        <v>53</v>
      </c>
      <c r="F955" s="64" t="s">
        <v>238</v>
      </c>
      <c r="G955" s="64" t="s">
        <v>38</v>
      </c>
      <c r="H955" s="73"/>
    </row>
    <row r="956" spans="1:8" ht="17.2" customHeight="1" x14ac:dyDescent="0.3">
      <c r="A956" s="62">
        <v>1</v>
      </c>
      <c r="B956" s="63" t="s">
        <v>79</v>
      </c>
      <c r="C956" s="77">
        <v>120000</v>
      </c>
      <c r="D956" s="78">
        <v>0.75</v>
      </c>
      <c r="E956" s="79">
        <f>+(A956*C956)+(A956*C956*D956)</f>
        <v>210000</v>
      </c>
      <c r="F956" s="75">
        <v>25</v>
      </c>
      <c r="G956" s="65">
        <f>ROUND(E956/(F956),2)</f>
        <v>8400</v>
      </c>
      <c r="H956" s="73"/>
    </row>
    <row r="957" spans="1:8" ht="17.2" customHeight="1" x14ac:dyDescent="0.3">
      <c r="A957" s="62">
        <v>2</v>
      </c>
      <c r="B957" s="63" t="s">
        <v>80</v>
      </c>
      <c r="C957" s="77">
        <v>70000</v>
      </c>
      <c r="D957" s="78">
        <v>0.75</v>
      </c>
      <c r="E957" s="79">
        <f>+(A957*C957)+(A957*C957*D957)</f>
        <v>245000</v>
      </c>
      <c r="F957" s="75">
        <v>25</v>
      </c>
      <c r="G957" s="65">
        <f>ROUND(E957/(F957),2)</f>
        <v>9800</v>
      </c>
      <c r="H957" s="73"/>
    </row>
    <row r="958" spans="1:8" ht="17.2" customHeight="1" x14ac:dyDescent="0.3">
      <c r="A958" s="63"/>
      <c r="B958" s="63"/>
      <c r="C958" s="63"/>
      <c r="D958" s="63"/>
      <c r="E958" s="64"/>
      <c r="F958" s="64"/>
      <c r="G958" s="64"/>
      <c r="H958" s="73"/>
    </row>
    <row r="959" spans="1:8" ht="17.2" customHeight="1" x14ac:dyDescent="0.3">
      <c r="A959" s="70"/>
      <c r="E959" s="71" t="s">
        <v>54</v>
      </c>
      <c r="F959" s="71"/>
      <c r="G959" s="71"/>
      <c r="H959" s="72">
        <f>ROUND(SUM(G956)+(G957),2)</f>
        <v>18200</v>
      </c>
    </row>
    <row r="960" spans="1:8" ht="17.2" customHeight="1" x14ac:dyDescent="0.3">
      <c r="A960" s="61" t="s">
        <v>55</v>
      </c>
      <c r="B960" s="525" t="s">
        <v>56</v>
      </c>
      <c r="C960" s="526"/>
      <c r="D960" s="526"/>
      <c r="E960" s="526"/>
      <c r="F960" s="526"/>
      <c r="G960" s="527"/>
      <c r="H960" s="73"/>
    </row>
    <row r="961" spans="1:8" ht="17.2" customHeight="1" x14ac:dyDescent="0.3">
      <c r="A961" s="63"/>
      <c r="B961" s="63" t="s">
        <v>34</v>
      </c>
      <c r="C961" s="62" t="s">
        <v>43</v>
      </c>
      <c r="D961" s="62" t="s">
        <v>57</v>
      </c>
      <c r="E961" s="62" t="s">
        <v>58</v>
      </c>
      <c r="F961" s="62"/>
      <c r="G961" s="64" t="s">
        <v>59</v>
      </c>
      <c r="H961" s="73"/>
    </row>
    <row r="962" spans="1:8" ht="17.2" customHeight="1" x14ac:dyDescent="0.3">
      <c r="A962" s="63"/>
      <c r="B962" s="63" t="s">
        <v>82</v>
      </c>
      <c r="C962" s="80" t="s">
        <v>83</v>
      </c>
      <c r="D962" s="63">
        <v>5.0000000000000001E-3</v>
      </c>
      <c r="E962" s="64">
        <v>50000</v>
      </c>
      <c r="F962" s="64"/>
      <c r="G962" s="64">
        <f>D962*E962</f>
        <v>250</v>
      </c>
      <c r="H962" s="73"/>
    </row>
    <row r="963" spans="1:8" ht="17.2" customHeight="1" x14ac:dyDescent="0.3">
      <c r="A963" s="63"/>
      <c r="B963" s="63"/>
      <c r="C963" s="81"/>
      <c r="D963" s="63"/>
      <c r="E963" s="64"/>
      <c r="F963" s="64"/>
      <c r="G963" s="64"/>
      <c r="H963" s="73"/>
    </row>
    <row r="964" spans="1:8" ht="17.2" customHeight="1" x14ac:dyDescent="0.3">
      <c r="A964" s="63"/>
      <c r="B964" s="63"/>
      <c r="C964" s="63"/>
      <c r="D964" s="63"/>
      <c r="E964" s="64"/>
      <c r="F964" s="64"/>
      <c r="G964" s="64"/>
      <c r="H964" s="73"/>
    </row>
    <row r="965" spans="1:8" ht="17.2" customHeight="1" x14ac:dyDescent="0.3">
      <c r="A965" s="70"/>
      <c r="E965" s="71" t="s">
        <v>54</v>
      </c>
      <c r="F965" s="71"/>
      <c r="G965" s="71"/>
      <c r="H965" s="119">
        <f>ROUND(SUM(G962)+(G963),0)</f>
        <v>250</v>
      </c>
    </row>
    <row r="966" spans="1:8" ht="17.2" customHeight="1" x14ac:dyDescent="0.3">
      <c r="A966" s="59"/>
      <c r="E966" s="71"/>
      <c r="F966" s="71"/>
      <c r="G966" s="71"/>
      <c r="H966" s="73"/>
    </row>
    <row r="967" spans="1:8" ht="17.2" customHeight="1" x14ac:dyDescent="0.3">
      <c r="A967" s="59"/>
      <c r="D967" s="82" t="s">
        <v>60</v>
      </c>
      <c r="E967" s="83"/>
      <c r="F967" s="83"/>
      <c r="G967" s="83"/>
      <c r="H967" s="72">
        <f>ROUND(SUM(H944:H966),2)</f>
        <v>54870</v>
      </c>
    </row>
    <row r="968" spans="1:8" ht="17.2" customHeight="1" x14ac:dyDescent="0.3">
      <c r="A968" s="59"/>
      <c r="E968" s="71"/>
      <c r="F968" s="71"/>
      <c r="G968" s="71"/>
      <c r="H968" s="73"/>
    </row>
    <row r="969" spans="1:8" ht="17.2" customHeight="1" x14ac:dyDescent="0.3">
      <c r="A969" s="61" t="s">
        <v>61</v>
      </c>
      <c r="B969" s="525" t="s">
        <v>62</v>
      </c>
      <c r="C969" s="526"/>
      <c r="D969" s="526"/>
      <c r="E969" s="526"/>
      <c r="F969" s="526"/>
      <c r="G969" s="527"/>
      <c r="H969" s="73"/>
    </row>
    <row r="970" spans="1:8" ht="17.2" customHeight="1" x14ac:dyDescent="0.3">
      <c r="A970" s="62"/>
      <c r="B970" s="518" t="s">
        <v>34</v>
      </c>
      <c r="C970" s="519"/>
      <c r="D970" s="518" t="s">
        <v>63</v>
      </c>
      <c r="E970" s="519"/>
      <c r="F970" s="528" t="s">
        <v>64</v>
      </c>
      <c r="G970" s="529"/>
      <c r="H970" s="73"/>
    </row>
    <row r="971" spans="1:8" ht="17.2" customHeight="1" x14ac:dyDescent="0.3">
      <c r="A971" s="63"/>
      <c r="B971" s="518" t="s">
        <v>20</v>
      </c>
      <c r="C971" s="519"/>
      <c r="D971" s="520">
        <v>0.28000000000000003</v>
      </c>
      <c r="E971" s="519"/>
      <c r="F971" s="521">
        <f>+H967*D971</f>
        <v>15363.600000000002</v>
      </c>
      <c r="G971" s="522"/>
      <c r="H971" s="73"/>
    </row>
    <row r="972" spans="1:8" ht="17.2" customHeight="1" x14ac:dyDescent="0.3">
      <c r="A972" s="63"/>
      <c r="B972" s="518" t="s">
        <v>21</v>
      </c>
      <c r="C972" s="519"/>
      <c r="D972" s="520">
        <v>0.01</v>
      </c>
      <c r="E972" s="519"/>
      <c r="F972" s="521">
        <f>+H967*D972</f>
        <v>548.70000000000005</v>
      </c>
      <c r="G972" s="522"/>
      <c r="H972" s="73"/>
    </row>
    <row r="973" spans="1:8" ht="17.2" customHeight="1" x14ac:dyDescent="0.3">
      <c r="A973" s="63"/>
      <c r="B973" s="518" t="s">
        <v>22</v>
      </c>
      <c r="C973" s="519"/>
      <c r="D973" s="520">
        <v>0.03</v>
      </c>
      <c r="E973" s="519"/>
      <c r="F973" s="521">
        <f>+H967*D973</f>
        <v>1646.1</v>
      </c>
      <c r="G973" s="522"/>
      <c r="H973" s="73"/>
    </row>
    <row r="974" spans="1:8" ht="17.2" customHeight="1" x14ac:dyDescent="0.3">
      <c r="A974" s="63"/>
      <c r="B974" s="518" t="s">
        <v>188</v>
      </c>
      <c r="C974" s="519"/>
      <c r="D974" s="520">
        <v>0.19</v>
      </c>
      <c r="E974" s="519"/>
      <c r="F974" s="521">
        <f>D974*F973</f>
        <v>312.75900000000001</v>
      </c>
      <c r="G974" s="522"/>
      <c r="H974" s="73"/>
    </row>
    <row r="975" spans="1:8" ht="17.2" customHeight="1" x14ac:dyDescent="0.3">
      <c r="A975" s="59"/>
      <c r="D975" s="82" t="s">
        <v>65</v>
      </c>
      <c r="E975" s="83"/>
      <c r="F975" s="83"/>
      <c r="G975" s="83"/>
      <c r="H975" s="72">
        <f>SUM(F971:G974)</f>
        <v>17871.159</v>
      </c>
    </row>
    <row r="976" spans="1:8" ht="17.2" customHeight="1" x14ac:dyDescent="0.3">
      <c r="A976" s="59"/>
      <c r="E976" s="71"/>
      <c r="F976" s="71"/>
      <c r="G976" s="71"/>
      <c r="H976" s="73"/>
    </row>
    <row r="977" spans="1:8" ht="17.2" customHeight="1" x14ac:dyDescent="0.3">
      <c r="A977" s="59"/>
      <c r="D977" s="82" t="s">
        <v>66</v>
      </c>
      <c r="E977" s="83"/>
      <c r="F977" s="83"/>
      <c r="G977" s="71"/>
      <c r="H977" s="72">
        <f>H967+H975</f>
        <v>72741.159</v>
      </c>
    </row>
    <row r="978" spans="1:8" ht="17.2" customHeight="1" x14ac:dyDescent="0.3">
      <c r="A978" s="59"/>
      <c r="D978" s="82"/>
      <c r="E978" s="83"/>
      <c r="F978" s="83"/>
      <c r="G978" s="71"/>
      <c r="H978" s="73"/>
    </row>
    <row r="979" spans="1:8" ht="17.2" customHeight="1" x14ac:dyDescent="0.3">
      <c r="A979" s="59"/>
      <c r="E979" s="83"/>
      <c r="F979" s="83"/>
      <c r="G979" s="71"/>
      <c r="H979" s="73"/>
    </row>
    <row r="980" spans="1:8" ht="17.2" customHeight="1" x14ac:dyDescent="0.3">
      <c r="A980" s="84"/>
      <c r="B980" s="85"/>
      <c r="E980" s="46"/>
      <c r="F980" s="47"/>
      <c r="G980" s="48"/>
      <c r="H980" s="73"/>
    </row>
    <row r="981" spans="1:8" ht="17.2" customHeight="1" x14ac:dyDescent="0.3">
      <c r="A981" s="86" t="s">
        <v>67</v>
      </c>
      <c r="B981" s="50" t="s">
        <v>68</v>
      </c>
      <c r="E981" s="49" t="s">
        <v>27</v>
      </c>
      <c r="F981" s="50"/>
      <c r="G981" s="50"/>
      <c r="H981" s="87"/>
    </row>
    <row r="982" spans="1:8" ht="17.2" customHeight="1" x14ac:dyDescent="0.3">
      <c r="A982" s="88" t="s">
        <v>28</v>
      </c>
      <c r="B982" s="50"/>
      <c r="E982" s="50" t="str">
        <f ca="1">+$E$52</f>
        <v>SECRETARIO DE PLANEACION Y OBRAS PUBLICAS</v>
      </c>
      <c r="F982" s="50"/>
      <c r="G982" s="50"/>
      <c r="H982" s="87"/>
    </row>
    <row r="983" spans="1:8" ht="18.2" customHeight="1" x14ac:dyDescent="0.3">
      <c r="A983" s="89"/>
      <c r="B983" s="90"/>
      <c r="C983" s="85"/>
      <c r="D983" s="85"/>
      <c r="E983" s="90" t="str">
        <f ca="1">+$E$53</f>
        <v>SAN MIGUEL - PUTUMAYO</v>
      </c>
      <c r="F983" s="90"/>
      <c r="G983" s="90"/>
      <c r="H983" s="91"/>
    </row>
    <row r="984" spans="1:8" ht="17.2" customHeight="1" x14ac:dyDescent="0.3">
      <c r="A984" s="556"/>
      <c r="B984" s="557"/>
      <c r="C984" s="380" t="s">
        <v>2</v>
      </c>
      <c r="D984" s="382" t="s">
        <v>3</v>
      </c>
      <c r="E984" s="383"/>
      <c r="F984" s="1">
        <v>103</v>
      </c>
      <c r="G984" s="548"/>
      <c r="H984" s="549"/>
    </row>
    <row r="985" spans="1:8" ht="17.2" customHeight="1" x14ac:dyDescent="0.3">
      <c r="A985" s="558"/>
      <c r="B985" s="559"/>
      <c r="C985" s="381"/>
      <c r="D985" s="396" t="s">
        <v>4</v>
      </c>
      <c r="E985" s="397"/>
      <c r="F985" s="400">
        <v>51</v>
      </c>
      <c r="G985" s="550"/>
      <c r="H985" s="551"/>
    </row>
    <row r="986" spans="1:8" ht="17.2" customHeight="1" x14ac:dyDescent="0.3">
      <c r="A986" s="558"/>
      <c r="B986" s="559"/>
      <c r="C986" s="5" t="s">
        <v>5</v>
      </c>
      <c r="D986" s="398"/>
      <c r="E986" s="399"/>
      <c r="F986" s="401"/>
      <c r="G986" s="550"/>
      <c r="H986" s="551"/>
    </row>
    <row r="987" spans="1:8" ht="26.85" customHeight="1" x14ac:dyDescent="0.3">
      <c r="A987" s="558"/>
      <c r="B987" s="559"/>
      <c r="C987" s="55" t="s">
        <v>6</v>
      </c>
      <c r="D987" s="402" t="s">
        <v>7</v>
      </c>
      <c r="E987" s="403"/>
      <c r="F987" s="7">
        <v>1</v>
      </c>
      <c r="G987" s="550"/>
      <c r="H987" s="551"/>
    </row>
    <row r="988" spans="1:8" ht="17.2" customHeight="1" x14ac:dyDescent="0.3">
      <c r="A988" s="558"/>
      <c r="B988" s="559"/>
      <c r="C988" s="530" t="s">
        <v>8</v>
      </c>
      <c r="D988" s="532" t="s">
        <v>9</v>
      </c>
      <c r="E988" s="533"/>
      <c r="F988" s="5" t="s">
        <v>10</v>
      </c>
      <c r="G988" s="550"/>
      <c r="H988" s="551"/>
    </row>
    <row r="989" spans="1:8" ht="17.2" customHeight="1" x14ac:dyDescent="0.3">
      <c r="A989" s="560"/>
      <c r="B989" s="561"/>
      <c r="C989" s="531"/>
      <c r="D989" s="534"/>
      <c r="E989" s="535"/>
      <c r="F989" s="8">
        <f>$F$6</f>
        <v>45402</v>
      </c>
      <c r="G989" s="552"/>
      <c r="H989" s="553"/>
    </row>
    <row r="990" spans="1:8" ht="17.2" customHeight="1" thickBot="1" x14ac:dyDescent="0.35">
      <c r="A990" s="536"/>
      <c r="B990" s="537"/>
      <c r="C990" s="537"/>
      <c r="D990" s="537"/>
      <c r="E990" s="537"/>
      <c r="F990" s="537"/>
      <c r="G990" s="537"/>
      <c r="H990" s="538"/>
    </row>
    <row r="991" spans="1:8" ht="28.15" customHeight="1" thickBot="1" x14ac:dyDescent="0.35">
      <c r="A991" s="92">
        <v>4.4000000000000004</v>
      </c>
      <c r="B991" s="539" t="str">
        <f>VLOOKUP(A991,PRESUPUESTO!$A$14:$G$71,2,)</f>
        <v xml:space="preserve">Suministro e instalacion de  tubieria sanitaria en PVC 2" incluido accesorios </v>
      </c>
      <c r="C991" s="540"/>
      <c r="D991" s="540"/>
      <c r="E991" s="540"/>
      <c r="F991" s="541"/>
      <c r="G991" s="57" t="s">
        <v>31</v>
      </c>
      <c r="H991" s="58" t="str">
        <f>VLOOKUP(A991,PRESUPUESTO!$A$14:$G$71,4,)</f>
        <v>ML</v>
      </c>
    </row>
    <row r="992" spans="1:8" ht="17.2" customHeight="1" x14ac:dyDescent="0.3">
      <c r="A992" s="59"/>
      <c r="H992" s="60"/>
    </row>
    <row r="993" spans="1:8" ht="17.2" customHeight="1" x14ac:dyDescent="0.3">
      <c r="A993" s="61" t="s">
        <v>32</v>
      </c>
      <c r="B993" s="525" t="s">
        <v>33</v>
      </c>
      <c r="C993" s="526"/>
      <c r="D993" s="526"/>
      <c r="E993" s="526"/>
      <c r="F993" s="526"/>
      <c r="G993" s="527"/>
      <c r="H993" s="60"/>
    </row>
    <row r="994" spans="1:8" ht="17.2" customHeight="1" x14ac:dyDescent="0.3">
      <c r="A994" s="62"/>
      <c r="B994" s="518" t="s">
        <v>34</v>
      </c>
      <c r="C994" s="519"/>
      <c r="D994" s="62" t="s">
        <v>35</v>
      </c>
      <c r="E994" s="62" t="s">
        <v>69</v>
      </c>
      <c r="F994" s="62" t="s">
        <v>70</v>
      </c>
      <c r="G994" s="62" t="s">
        <v>38</v>
      </c>
      <c r="H994" s="60"/>
    </row>
    <row r="995" spans="1:8" ht="17.2" customHeight="1" x14ac:dyDescent="0.3">
      <c r="A995" s="63"/>
      <c r="B995" s="542" t="s">
        <v>39</v>
      </c>
      <c r="C995" s="543"/>
      <c r="D995" s="63"/>
      <c r="E995" s="64"/>
      <c r="F995" s="64">
        <v>0.1</v>
      </c>
      <c r="G995" s="65">
        <f>ROUND(H1012*F995,2)</f>
        <v>1516.67</v>
      </c>
      <c r="H995" s="66"/>
    </row>
    <row r="996" spans="1:8" ht="17.2" customHeight="1" x14ac:dyDescent="0.3">
      <c r="A996" s="63"/>
      <c r="B996" s="542"/>
      <c r="C996" s="543"/>
      <c r="D996" s="62"/>
      <c r="E996" s="68"/>
      <c r="F996" s="64"/>
      <c r="G996" s="69"/>
      <c r="H996" s="66"/>
    </row>
    <row r="997" spans="1:8" ht="17.2" customHeight="1" x14ac:dyDescent="0.3">
      <c r="A997" s="70"/>
      <c r="E997" s="71" t="s">
        <v>40</v>
      </c>
      <c r="F997" s="71"/>
      <c r="G997" s="71"/>
      <c r="H997" s="72">
        <f>ROUND(SUM(G995:G996),2)</f>
        <v>1516.67</v>
      </c>
    </row>
    <row r="998" spans="1:8" ht="17.2" customHeight="1" x14ac:dyDescent="0.3">
      <c r="A998" s="61" t="s">
        <v>41</v>
      </c>
      <c r="B998" s="525" t="s">
        <v>42</v>
      </c>
      <c r="C998" s="526"/>
      <c r="D998" s="526"/>
      <c r="E998" s="526"/>
      <c r="F998" s="526"/>
      <c r="G998" s="527"/>
      <c r="H998" s="73"/>
    </row>
    <row r="999" spans="1:8" ht="17.2" customHeight="1" x14ac:dyDescent="0.3">
      <c r="A999" s="62"/>
      <c r="B999" s="518" t="s">
        <v>34</v>
      </c>
      <c r="C999" s="519"/>
      <c r="D999" s="62" t="s">
        <v>43</v>
      </c>
      <c r="E999" s="74" t="s">
        <v>44</v>
      </c>
      <c r="F999" s="74" t="s">
        <v>45</v>
      </c>
      <c r="G999" s="74" t="s">
        <v>38</v>
      </c>
      <c r="H999" s="73"/>
    </row>
    <row r="1000" spans="1:8" ht="15.05" x14ac:dyDescent="0.3">
      <c r="A1000" s="63"/>
      <c r="B1000" s="544" t="s">
        <v>252</v>
      </c>
      <c r="C1000" s="545"/>
      <c r="D1000" s="270" t="s">
        <v>233</v>
      </c>
      <c r="E1000" s="271">
        <v>1</v>
      </c>
      <c r="F1000" s="95">
        <v>10000</v>
      </c>
      <c r="G1000" s="120">
        <f>ROUND(E1000*F1000,2)</f>
        <v>10000</v>
      </c>
      <c r="H1000" s="73"/>
    </row>
    <row r="1001" spans="1:8" ht="17.2" customHeight="1" x14ac:dyDescent="0.3">
      <c r="A1001" s="63"/>
      <c r="B1001" s="546" t="s">
        <v>209</v>
      </c>
      <c r="C1001" s="547"/>
      <c r="D1001" s="270" t="s">
        <v>208</v>
      </c>
      <c r="E1001" s="270">
        <v>0.02</v>
      </c>
      <c r="F1001" s="95">
        <v>150000</v>
      </c>
      <c r="G1001" s="67">
        <f t="shared" ref="G1001:G1002" si="9">ROUND(E1001*F1001,2)</f>
        <v>3000</v>
      </c>
      <c r="H1001" s="73"/>
    </row>
    <row r="1002" spans="1:8" ht="17.2" customHeight="1" x14ac:dyDescent="0.3">
      <c r="A1002" s="63"/>
      <c r="B1002" s="546" t="s">
        <v>210</v>
      </c>
      <c r="C1002" s="547"/>
      <c r="D1002" s="270" t="s">
        <v>208</v>
      </c>
      <c r="E1002" s="270">
        <v>0.02</v>
      </c>
      <c r="F1002" s="95">
        <v>110000</v>
      </c>
      <c r="G1002" s="67">
        <f t="shared" si="9"/>
        <v>2200</v>
      </c>
      <c r="H1002" s="73"/>
    </row>
    <row r="1003" spans="1:8" ht="17.2" customHeight="1" x14ac:dyDescent="0.3">
      <c r="A1003" s="63"/>
      <c r="B1003" s="523" t="s">
        <v>250</v>
      </c>
      <c r="C1003" s="524"/>
      <c r="D1003" s="93" t="s">
        <v>212</v>
      </c>
      <c r="E1003" s="94">
        <v>0.5</v>
      </c>
      <c r="F1003" s="95">
        <v>5000</v>
      </c>
      <c r="G1003" s="67">
        <f>E1003*F1003</f>
        <v>2500</v>
      </c>
      <c r="H1003" s="73"/>
    </row>
    <row r="1004" spans="1:8" ht="17.2" customHeight="1" x14ac:dyDescent="0.3">
      <c r="A1004" s="63"/>
      <c r="B1004" s="523" t="s">
        <v>251</v>
      </c>
      <c r="C1004" s="524"/>
      <c r="D1004" s="93" t="s">
        <v>212</v>
      </c>
      <c r="E1004" s="94">
        <v>0.3</v>
      </c>
      <c r="F1004" s="95">
        <v>5000</v>
      </c>
      <c r="G1004" s="67">
        <f>E1004*F1004</f>
        <v>1500</v>
      </c>
      <c r="H1004" s="73"/>
    </row>
    <row r="1005" spans="1:8" ht="17.2" customHeight="1" x14ac:dyDescent="0.3">
      <c r="A1005" s="63"/>
      <c r="B1005" s="523" t="s">
        <v>247</v>
      </c>
      <c r="C1005" s="524"/>
      <c r="D1005" s="93" t="s">
        <v>212</v>
      </c>
      <c r="E1005" s="94">
        <v>0.1</v>
      </c>
      <c r="F1005" s="95">
        <v>5000</v>
      </c>
      <c r="G1005" s="67">
        <f>E1005*F1005</f>
        <v>500</v>
      </c>
      <c r="H1005" s="73"/>
    </row>
    <row r="1006" spans="1:8" ht="17.2" customHeight="1" x14ac:dyDescent="0.3">
      <c r="A1006" s="70" t="s">
        <v>46</v>
      </c>
      <c r="E1006" s="71" t="s">
        <v>47</v>
      </c>
      <c r="F1006" s="71"/>
      <c r="G1006" s="71"/>
      <c r="H1006" s="76">
        <f>ROUND(SUM(G1000:G1005),2)</f>
        <v>19700</v>
      </c>
    </row>
    <row r="1007" spans="1:8" ht="17.2" customHeight="1" x14ac:dyDescent="0.3">
      <c r="A1007" s="61" t="s">
        <v>48</v>
      </c>
      <c r="B1007" s="525" t="s">
        <v>49</v>
      </c>
      <c r="C1007" s="526"/>
      <c r="D1007" s="526"/>
      <c r="E1007" s="526"/>
      <c r="F1007" s="526"/>
      <c r="G1007" s="527"/>
      <c r="H1007" s="73"/>
    </row>
    <row r="1008" spans="1:8" ht="17.2" customHeight="1" x14ac:dyDescent="0.3">
      <c r="A1008" s="62" t="s">
        <v>50</v>
      </c>
      <c r="B1008" s="62" t="s">
        <v>34</v>
      </c>
      <c r="C1008" s="62" t="s">
        <v>51</v>
      </c>
      <c r="D1008" s="62" t="s">
        <v>52</v>
      </c>
      <c r="E1008" s="74" t="s">
        <v>53</v>
      </c>
      <c r="F1008" s="64" t="s">
        <v>238</v>
      </c>
      <c r="G1008" s="64" t="s">
        <v>38</v>
      </c>
      <c r="H1008" s="73"/>
    </row>
    <row r="1009" spans="1:8" ht="17.2" customHeight="1" x14ac:dyDescent="0.3">
      <c r="A1009" s="62">
        <v>1</v>
      </c>
      <c r="B1009" s="63" t="s">
        <v>79</v>
      </c>
      <c r="C1009" s="77">
        <v>120000</v>
      </c>
      <c r="D1009" s="78">
        <v>0.75</v>
      </c>
      <c r="E1009" s="79">
        <f>+(A1009*C1009)+(A1009*C1009*D1009)</f>
        <v>210000</v>
      </c>
      <c r="F1009" s="75">
        <v>30</v>
      </c>
      <c r="G1009" s="65">
        <f>ROUND(E1009/(F1009),2)</f>
        <v>7000</v>
      </c>
      <c r="H1009" s="73"/>
    </row>
    <row r="1010" spans="1:8" ht="17.2" customHeight="1" x14ac:dyDescent="0.3">
      <c r="A1010" s="62">
        <v>2</v>
      </c>
      <c r="B1010" s="63" t="s">
        <v>80</v>
      </c>
      <c r="C1010" s="77">
        <v>70000</v>
      </c>
      <c r="D1010" s="78">
        <v>0.75</v>
      </c>
      <c r="E1010" s="79">
        <f>+(A1010*C1010)+(A1010*C1010*D1010)</f>
        <v>245000</v>
      </c>
      <c r="F1010" s="75">
        <v>30</v>
      </c>
      <c r="G1010" s="65">
        <f>ROUND(E1010/(F1010),2)</f>
        <v>8166.67</v>
      </c>
      <c r="H1010" s="73"/>
    </row>
    <row r="1011" spans="1:8" ht="17.2" customHeight="1" x14ac:dyDescent="0.3">
      <c r="A1011" s="63"/>
      <c r="B1011" s="63"/>
      <c r="C1011" s="63"/>
      <c r="D1011" s="63"/>
      <c r="E1011" s="64"/>
      <c r="F1011" s="64"/>
      <c r="G1011" s="64"/>
      <c r="H1011" s="73"/>
    </row>
    <row r="1012" spans="1:8" ht="17.2" customHeight="1" x14ac:dyDescent="0.3">
      <c r="A1012" s="70"/>
      <c r="E1012" s="71" t="s">
        <v>54</v>
      </c>
      <c r="F1012" s="71"/>
      <c r="G1012" s="71"/>
      <c r="H1012" s="72">
        <f>ROUND(SUM(G1009)+(G1010),2)</f>
        <v>15166.67</v>
      </c>
    </row>
    <row r="1013" spans="1:8" ht="17.2" customHeight="1" x14ac:dyDescent="0.3">
      <c r="A1013" s="61" t="s">
        <v>55</v>
      </c>
      <c r="B1013" s="525" t="s">
        <v>56</v>
      </c>
      <c r="C1013" s="526"/>
      <c r="D1013" s="526"/>
      <c r="E1013" s="526"/>
      <c r="F1013" s="526"/>
      <c r="G1013" s="527"/>
      <c r="H1013" s="73"/>
    </row>
    <row r="1014" spans="1:8" ht="17.2" customHeight="1" x14ac:dyDescent="0.3">
      <c r="A1014" s="63"/>
      <c r="B1014" s="63" t="s">
        <v>34</v>
      </c>
      <c r="C1014" s="62" t="s">
        <v>43</v>
      </c>
      <c r="D1014" s="62" t="s">
        <v>57</v>
      </c>
      <c r="E1014" s="62" t="s">
        <v>58</v>
      </c>
      <c r="F1014" s="62"/>
      <c r="G1014" s="64" t="s">
        <v>59</v>
      </c>
      <c r="H1014" s="73"/>
    </row>
    <row r="1015" spans="1:8" ht="17.2" customHeight="1" x14ac:dyDescent="0.3">
      <c r="A1015" s="63"/>
      <c r="B1015" s="63" t="s">
        <v>82</v>
      </c>
      <c r="C1015" s="80" t="s">
        <v>83</v>
      </c>
      <c r="D1015" s="63">
        <v>5.0000000000000001E-3</v>
      </c>
      <c r="E1015" s="64">
        <v>50000</v>
      </c>
      <c r="F1015" s="64"/>
      <c r="G1015" s="64">
        <f>D1015*E1015</f>
        <v>250</v>
      </c>
      <c r="H1015" s="73"/>
    </row>
    <row r="1016" spans="1:8" ht="17.2" customHeight="1" x14ac:dyDescent="0.3">
      <c r="A1016" s="63"/>
      <c r="B1016" s="63"/>
      <c r="C1016" s="81"/>
      <c r="D1016" s="63"/>
      <c r="E1016" s="64"/>
      <c r="F1016" s="64"/>
      <c r="G1016" s="64"/>
      <c r="H1016" s="73"/>
    </row>
    <row r="1017" spans="1:8" ht="17.2" customHeight="1" x14ac:dyDescent="0.3">
      <c r="A1017" s="63"/>
      <c r="B1017" s="63"/>
      <c r="C1017" s="63"/>
      <c r="D1017" s="63"/>
      <c r="E1017" s="64"/>
      <c r="F1017" s="64"/>
      <c r="G1017" s="64"/>
      <c r="H1017" s="73"/>
    </row>
    <row r="1018" spans="1:8" ht="17.2" customHeight="1" x14ac:dyDescent="0.3">
      <c r="A1018" s="70"/>
      <c r="E1018" s="71" t="s">
        <v>54</v>
      </c>
      <c r="F1018" s="71"/>
      <c r="G1018" s="71"/>
      <c r="H1018" s="119">
        <f>ROUND(SUM(G1015)+(G1016),0)</f>
        <v>250</v>
      </c>
    </row>
    <row r="1019" spans="1:8" ht="17.2" customHeight="1" x14ac:dyDescent="0.3">
      <c r="A1019" s="59"/>
      <c r="E1019" s="71"/>
      <c r="F1019" s="71"/>
      <c r="G1019" s="71"/>
      <c r="H1019" s="73"/>
    </row>
    <row r="1020" spans="1:8" ht="17.2" customHeight="1" x14ac:dyDescent="0.3">
      <c r="A1020" s="59"/>
      <c r="D1020" s="82" t="s">
        <v>60</v>
      </c>
      <c r="E1020" s="83"/>
      <c r="F1020" s="83"/>
      <c r="G1020" s="83"/>
      <c r="H1020" s="72">
        <f>ROUND(SUM(H997:H1019),2)</f>
        <v>36633.339999999997</v>
      </c>
    </row>
    <row r="1021" spans="1:8" ht="17.2" customHeight="1" x14ac:dyDescent="0.3">
      <c r="A1021" s="59"/>
      <c r="E1021" s="71"/>
      <c r="F1021" s="71"/>
      <c r="G1021" s="71"/>
      <c r="H1021" s="73"/>
    </row>
    <row r="1022" spans="1:8" ht="17.2" customHeight="1" x14ac:dyDescent="0.3">
      <c r="A1022" s="61" t="s">
        <v>61</v>
      </c>
      <c r="B1022" s="525" t="s">
        <v>62</v>
      </c>
      <c r="C1022" s="526"/>
      <c r="D1022" s="526"/>
      <c r="E1022" s="526"/>
      <c r="F1022" s="526"/>
      <c r="G1022" s="527"/>
      <c r="H1022" s="73"/>
    </row>
    <row r="1023" spans="1:8" ht="17.2" customHeight="1" x14ac:dyDescent="0.3">
      <c r="A1023" s="62"/>
      <c r="B1023" s="518" t="s">
        <v>34</v>
      </c>
      <c r="C1023" s="519"/>
      <c r="D1023" s="518" t="s">
        <v>63</v>
      </c>
      <c r="E1023" s="519"/>
      <c r="F1023" s="528" t="s">
        <v>64</v>
      </c>
      <c r="G1023" s="529"/>
      <c r="H1023" s="73"/>
    </row>
    <row r="1024" spans="1:8" ht="17.2" customHeight="1" x14ac:dyDescent="0.3">
      <c r="A1024" s="63"/>
      <c r="B1024" s="518" t="s">
        <v>20</v>
      </c>
      <c r="C1024" s="519"/>
      <c r="D1024" s="520">
        <v>0.28000000000000003</v>
      </c>
      <c r="E1024" s="519"/>
      <c r="F1024" s="521">
        <f>+H1020*D1024</f>
        <v>10257.3352</v>
      </c>
      <c r="G1024" s="522"/>
      <c r="H1024" s="73"/>
    </row>
    <row r="1025" spans="1:8" ht="17.2" customHeight="1" x14ac:dyDescent="0.3">
      <c r="A1025" s="63"/>
      <c r="B1025" s="518" t="s">
        <v>21</v>
      </c>
      <c r="C1025" s="519"/>
      <c r="D1025" s="520">
        <v>0.01</v>
      </c>
      <c r="E1025" s="519"/>
      <c r="F1025" s="521">
        <f>+H1020*D1025</f>
        <v>366.33339999999998</v>
      </c>
      <c r="G1025" s="522"/>
      <c r="H1025" s="73"/>
    </row>
    <row r="1026" spans="1:8" ht="17.2" customHeight="1" x14ac:dyDescent="0.3">
      <c r="A1026" s="63"/>
      <c r="B1026" s="518" t="s">
        <v>22</v>
      </c>
      <c r="C1026" s="519"/>
      <c r="D1026" s="520">
        <v>0.03</v>
      </c>
      <c r="E1026" s="519"/>
      <c r="F1026" s="521">
        <f>+H1020*D1026</f>
        <v>1099.0001999999999</v>
      </c>
      <c r="G1026" s="522"/>
      <c r="H1026" s="73"/>
    </row>
    <row r="1027" spans="1:8" ht="17.2" customHeight="1" x14ac:dyDescent="0.3">
      <c r="A1027" s="63"/>
      <c r="B1027" s="518" t="s">
        <v>188</v>
      </c>
      <c r="C1027" s="519"/>
      <c r="D1027" s="520">
        <v>0.19</v>
      </c>
      <c r="E1027" s="519"/>
      <c r="F1027" s="521">
        <f>D1027*F1026</f>
        <v>208.81003799999999</v>
      </c>
      <c r="G1027" s="522"/>
      <c r="H1027" s="73"/>
    </row>
    <row r="1028" spans="1:8" ht="17.2" customHeight="1" x14ac:dyDescent="0.3">
      <c r="A1028" s="59"/>
      <c r="D1028" s="82" t="s">
        <v>65</v>
      </c>
      <c r="E1028" s="83"/>
      <c r="F1028" s="83"/>
      <c r="G1028" s="83"/>
      <c r="H1028" s="72">
        <f>SUM(F1024:G1027)</f>
        <v>11931.478837999999</v>
      </c>
    </row>
    <row r="1029" spans="1:8" ht="17.2" customHeight="1" x14ac:dyDescent="0.3">
      <c r="A1029" s="59"/>
      <c r="E1029" s="71"/>
      <c r="F1029" s="71"/>
      <c r="G1029" s="71"/>
      <c r="H1029" s="73"/>
    </row>
    <row r="1030" spans="1:8" ht="17.2" customHeight="1" x14ac:dyDescent="0.3">
      <c r="A1030" s="59"/>
      <c r="D1030" s="82" t="s">
        <v>66</v>
      </c>
      <c r="E1030" s="83"/>
      <c r="F1030" s="83"/>
      <c r="G1030" s="71"/>
      <c r="H1030" s="72">
        <f>H1020+H1028</f>
        <v>48564.818837999992</v>
      </c>
    </row>
    <row r="1031" spans="1:8" ht="17.2" customHeight="1" x14ac:dyDescent="0.3">
      <c r="A1031" s="59"/>
      <c r="D1031" s="82"/>
      <c r="E1031" s="83"/>
      <c r="F1031" s="83"/>
      <c r="G1031" s="71"/>
      <c r="H1031" s="73"/>
    </row>
    <row r="1032" spans="1:8" ht="17.2" customHeight="1" x14ac:dyDescent="0.3">
      <c r="A1032" s="59"/>
      <c r="E1032" s="83"/>
      <c r="F1032" s="83"/>
      <c r="G1032" s="71"/>
      <c r="H1032" s="73"/>
    </row>
    <row r="1033" spans="1:8" ht="17.2" customHeight="1" x14ac:dyDescent="0.3">
      <c r="A1033" s="84"/>
      <c r="B1033" s="85"/>
      <c r="E1033" s="46"/>
      <c r="F1033" s="47"/>
      <c r="G1033" s="48"/>
      <c r="H1033" s="73"/>
    </row>
    <row r="1034" spans="1:8" ht="17.2" customHeight="1" x14ac:dyDescent="0.3">
      <c r="A1034" s="86" t="s">
        <v>67</v>
      </c>
      <c r="B1034" s="50" t="s">
        <v>68</v>
      </c>
      <c r="E1034" s="49" t="s">
        <v>27</v>
      </c>
      <c r="F1034" s="50"/>
      <c r="G1034" s="50"/>
      <c r="H1034" s="87"/>
    </row>
    <row r="1035" spans="1:8" ht="17.2" customHeight="1" x14ac:dyDescent="0.3">
      <c r="A1035" s="88" t="s">
        <v>28</v>
      </c>
      <c r="B1035" s="50"/>
      <c r="E1035" s="50" t="str">
        <f ca="1">+$E$52</f>
        <v>SECRETARIO DE PLANEACION Y OBRAS PUBLICAS</v>
      </c>
      <c r="F1035" s="50"/>
      <c r="G1035" s="50"/>
      <c r="H1035" s="87"/>
    </row>
    <row r="1036" spans="1:8" ht="18.2" customHeight="1" x14ac:dyDescent="0.3">
      <c r="A1036" s="89"/>
      <c r="B1036" s="90"/>
      <c r="C1036" s="85"/>
      <c r="D1036" s="85"/>
      <c r="E1036" s="90" t="str">
        <f ca="1">+$E$53</f>
        <v>SAN MIGUEL - PUTUMAYO</v>
      </c>
      <c r="F1036" s="90"/>
      <c r="G1036" s="90"/>
      <c r="H1036" s="91"/>
    </row>
    <row r="1037" spans="1:8" ht="17.2" customHeight="1" x14ac:dyDescent="0.3">
      <c r="A1037" s="556"/>
      <c r="B1037" s="557"/>
      <c r="C1037" s="380" t="s">
        <v>2</v>
      </c>
      <c r="D1037" s="382" t="s">
        <v>3</v>
      </c>
      <c r="E1037" s="383"/>
      <c r="F1037" s="1">
        <v>103</v>
      </c>
      <c r="G1037" s="548"/>
      <c r="H1037" s="549"/>
    </row>
    <row r="1038" spans="1:8" ht="17.2" customHeight="1" x14ac:dyDescent="0.3">
      <c r="A1038" s="558"/>
      <c r="B1038" s="559"/>
      <c r="C1038" s="381"/>
      <c r="D1038" s="396" t="s">
        <v>4</v>
      </c>
      <c r="E1038" s="397"/>
      <c r="F1038" s="400">
        <v>51</v>
      </c>
      <c r="G1038" s="550"/>
      <c r="H1038" s="551"/>
    </row>
    <row r="1039" spans="1:8" ht="17.2" customHeight="1" x14ac:dyDescent="0.3">
      <c r="A1039" s="558"/>
      <c r="B1039" s="559"/>
      <c r="C1039" s="5" t="s">
        <v>5</v>
      </c>
      <c r="D1039" s="398"/>
      <c r="E1039" s="399"/>
      <c r="F1039" s="401"/>
      <c r="G1039" s="550"/>
      <c r="H1039" s="551"/>
    </row>
    <row r="1040" spans="1:8" ht="26.85" customHeight="1" x14ac:dyDescent="0.3">
      <c r="A1040" s="558"/>
      <c r="B1040" s="559"/>
      <c r="C1040" s="55" t="s">
        <v>6</v>
      </c>
      <c r="D1040" s="402" t="s">
        <v>7</v>
      </c>
      <c r="E1040" s="403"/>
      <c r="F1040" s="7">
        <v>1</v>
      </c>
      <c r="G1040" s="550"/>
      <c r="H1040" s="551"/>
    </row>
    <row r="1041" spans="1:15" ht="17.2" customHeight="1" x14ac:dyDescent="0.3">
      <c r="A1041" s="558"/>
      <c r="B1041" s="559"/>
      <c r="C1041" s="530" t="s">
        <v>8</v>
      </c>
      <c r="D1041" s="532" t="s">
        <v>9</v>
      </c>
      <c r="E1041" s="533"/>
      <c r="F1041" s="5" t="s">
        <v>10</v>
      </c>
      <c r="G1041" s="550"/>
      <c r="H1041" s="551"/>
    </row>
    <row r="1042" spans="1:15" ht="17.2" customHeight="1" x14ac:dyDescent="0.3">
      <c r="A1042" s="560"/>
      <c r="B1042" s="561"/>
      <c r="C1042" s="531"/>
      <c r="D1042" s="534"/>
      <c r="E1042" s="535"/>
      <c r="F1042" s="8">
        <f>$F$6</f>
        <v>45402</v>
      </c>
      <c r="G1042" s="552"/>
      <c r="H1042" s="553"/>
    </row>
    <row r="1043" spans="1:15" ht="17.2" customHeight="1" thickBot="1" x14ac:dyDescent="0.35">
      <c r="A1043" s="536"/>
      <c r="B1043" s="537"/>
      <c r="C1043" s="537"/>
      <c r="D1043" s="537"/>
      <c r="E1043" s="537"/>
      <c r="F1043" s="537"/>
      <c r="G1043" s="537"/>
      <c r="H1043" s="538"/>
    </row>
    <row r="1044" spans="1:15" ht="28.15" customHeight="1" thickBot="1" x14ac:dyDescent="0.35">
      <c r="A1044" s="92">
        <v>4.5</v>
      </c>
      <c r="B1044" s="539" t="str">
        <f>VLOOKUP(A1044,PRESUPUESTO!$A$14:$G$71,2,)</f>
        <v xml:space="preserve">construccion de caja de inspeccion sanitaria de (80X80) en mamposteria incluye tapa en concreto </v>
      </c>
      <c r="C1044" s="540"/>
      <c r="D1044" s="540"/>
      <c r="E1044" s="540"/>
      <c r="F1044" s="541"/>
      <c r="G1044" s="57" t="s">
        <v>31</v>
      </c>
      <c r="H1044" s="58" t="str">
        <f>VLOOKUP(A1044,PRESUPUESTO!$A$14:$G$71,4,)</f>
        <v>UND</v>
      </c>
    </row>
    <row r="1045" spans="1:15" ht="17.2" customHeight="1" x14ac:dyDescent="0.3">
      <c r="A1045" s="59"/>
      <c r="H1045" s="60"/>
    </row>
    <row r="1046" spans="1:15" ht="17.2" customHeight="1" x14ac:dyDescent="0.3">
      <c r="A1046" s="61" t="s">
        <v>32</v>
      </c>
      <c r="B1046" s="525" t="s">
        <v>33</v>
      </c>
      <c r="C1046" s="526"/>
      <c r="D1046" s="526"/>
      <c r="E1046" s="526"/>
      <c r="F1046" s="526"/>
      <c r="G1046" s="527"/>
      <c r="H1046" s="60"/>
    </row>
    <row r="1047" spans="1:15" ht="17.2" customHeight="1" x14ac:dyDescent="0.3">
      <c r="A1047" s="62"/>
      <c r="B1047" s="518" t="s">
        <v>34</v>
      </c>
      <c r="C1047" s="519"/>
      <c r="D1047" s="62" t="s">
        <v>35</v>
      </c>
      <c r="E1047" s="62" t="s">
        <v>69</v>
      </c>
      <c r="F1047" s="62" t="s">
        <v>70</v>
      </c>
      <c r="G1047" s="62" t="s">
        <v>38</v>
      </c>
      <c r="H1047" s="60"/>
    </row>
    <row r="1048" spans="1:15" ht="17.2" customHeight="1" x14ac:dyDescent="0.3">
      <c r="A1048" s="63"/>
      <c r="B1048" s="542" t="s">
        <v>39</v>
      </c>
      <c r="C1048" s="543"/>
      <c r="D1048" s="63"/>
      <c r="E1048" s="64"/>
      <c r="F1048" s="64">
        <v>0.1</v>
      </c>
      <c r="G1048" s="65">
        <f>ROUND(H1066*F1048,2)</f>
        <v>22750</v>
      </c>
      <c r="H1048" s="66"/>
    </row>
    <row r="1049" spans="1:15" ht="17.2" customHeight="1" x14ac:dyDescent="0.3">
      <c r="A1049" s="63"/>
      <c r="B1049" s="542"/>
      <c r="C1049" s="543"/>
      <c r="D1049" s="62"/>
      <c r="E1049" s="68"/>
      <c r="F1049" s="64"/>
      <c r="G1049" s="69"/>
      <c r="H1049" s="66"/>
      <c r="M1049" s="54" t="s">
        <v>255</v>
      </c>
      <c r="N1049" s="54">
        <f>0.8*0.8*0.04</f>
        <v>2.5600000000000005E-2</v>
      </c>
    </row>
    <row r="1050" spans="1:15" ht="17.2" customHeight="1" x14ac:dyDescent="0.3">
      <c r="A1050" s="70"/>
      <c r="E1050" s="71" t="s">
        <v>40</v>
      </c>
      <c r="F1050" s="71"/>
      <c r="G1050" s="71"/>
      <c r="H1050" s="72">
        <f>ROUND(SUM(G1048:G1049),2)</f>
        <v>22750</v>
      </c>
      <c r="M1050" s="54" t="s">
        <v>256</v>
      </c>
      <c r="N1050" s="54">
        <f>1*0.8*4</f>
        <v>3.2</v>
      </c>
      <c r="O1050" s="54">
        <f>N1050*0.03</f>
        <v>9.6000000000000002E-2</v>
      </c>
    </row>
    <row r="1051" spans="1:15" ht="17.2" customHeight="1" x14ac:dyDescent="0.3">
      <c r="A1051" s="61" t="s">
        <v>41</v>
      </c>
      <c r="B1051" s="525" t="s">
        <v>42</v>
      </c>
      <c r="C1051" s="526"/>
      <c r="D1051" s="526"/>
      <c r="E1051" s="526"/>
      <c r="F1051" s="526"/>
      <c r="G1051" s="527"/>
      <c r="H1051" s="73"/>
      <c r="M1051" s="54" t="s">
        <v>257</v>
      </c>
      <c r="N1051" s="54">
        <f>0.8*0.8*0.1</f>
        <v>6.4000000000000015E-2</v>
      </c>
    </row>
    <row r="1052" spans="1:15" ht="17.2" customHeight="1" x14ac:dyDescent="0.3">
      <c r="A1052" s="62"/>
      <c r="B1052" s="518" t="s">
        <v>34</v>
      </c>
      <c r="C1052" s="519"/>
      <c r="D1052" s="62" t="s">
        <v>43</v>
      </c>
      <c r="E1052" s="74" t="s">
        <v>44</v>
      </c>
      <c r="F1052" s="74" t="s">
        <v>45</v>
      </c>
      <c r="G1052" s="74" t="s">
        <v>38</v>
      </c>
      <c r="H1052" s="73"/>
      <c r="M1052" s="54" t="s">
        <v>258</v>
      </c>
      <c r="N1052" s="54">
        <f>3.2*0.02</f>
        <v>6.4000000000000001E-2</v>
      </c>
    </row>
    <row r="1053" spans="1:15" ht="19.149999999999999" customHeight="1" x14ac:dyDescent="0.3">
      <c r="A1053" s="63"/>
      <c r="B1053" s="554" t="s">
        <v>213</v>
      </c>
      <c r="C1053" s="555"/>
      <c r="D1053" s="93" t="s">
        <v>180</v>
      </c>
      <c r="E1053" s="94">
        <f>350*0.25</f>
        <v>87.5</v>
      </c>
      <c r="F1053" s="272">
        <v>800</v>
      </c>
      <c r="G1053" s="120">
        <f>ROUND(E1053*F1053,2)</f>
        <v>70000</v>
      </c>
      <c r="H1053" s="73"/>
      <c r="M1053" s="54" t="s">
        <v>259</v>
      </c>
      <c r="N1053" s="54">
        <f>N1052+N1051+O1050+N1049</f>
        <v>0.24960000000000002</v>
      </c>
    </row>
    <row r="1054" spans="1:15" ht="17.2" customHeight="1" x14ac:dyDescent="0.3">
      <c r="A1054" s="63"/>
      <c r="B1054" s="523" t="s">
        <v>182</v>
      </c>
      <c r="C1054" s="524"/>
      <c r="D1054" s="93" t="s">
        <v>0</v>
      </c>
      <c r="E1054" s="94">
        <f>0.555*0.25</f>
        <v>0.13875000000000001</v>
      </c>
      <c r="F1054" s="272">
        <v>70000</v>
      </c>
      <c r="G1054" s="67">
        <f t="shared" ref="G1054:G1055" si="10">ROUND(E1054*F1054,2)</f>
        <v>9712.5</v>
      </c>
      <c r="H1054" s="73"/>
    </row>
    <row r="1055" spans="1:15" ht="17.2" customHeight="1" x14ac:dyDescent="0.3">
      <c r="A1055" s="63" t="s">
        <v>46</v>
      </c>
      <c r="B1055" s="523" t="s">
        <v>253</v>
      </c>
      <c r="C1055" s="524"/>
      <c r="D1055" s="93" t="s">
        <v>212</v>
      </c>
      <c r="E1055" s="94">
        <f>1*0.8*4*15</f>
        <v>48</v>
      </c>
      <c r="F1055" s="95">
        <v>3100</v>
      </c>
      <c r="G1055" s="67">
        <f t="shared" si="10"/>
        <v>148800</v>
      </c>
      <c r="H1055" s="73"/>
    </row>
    <row r="1056" spans="1:15" ht="17.2" customHeight="1" x14ac:dyDescent="0.3">
      <c r="A1056" s="63"/>
      <c r="B1056" s="523" t="s">
        <v>184</v>
      </c>
      <c r="C1056" s="524"/>
      <c r="D1056" s="93" t="s">
        <v>185</v>
      </c>
      <c r="E1056" s="94">
        <f>170*0.25</f>
        <v>42.5</v>
      </c>
      <c r="F1056" s="95">
        <v>40</v>
      </c>
      <c r="G1056" s="67">
        <f>E1056*F1056</f>
        <v>1700</v>
      </c>
      <c r="H1056" s="73"/>
    </row>
    <row r="1057" spans="1:8" ht="17.2" customHeight="1" x14ac:dyDescent="0.3">
      <c r="A1057" s="63"/>
      <c r="B1057" s="523" t="s">
        <v>254</v>
      </c>
      <c r="C1057" s="524"/>
      <c r="D1057" s="93" t="s">
        <v>233</v>
      </c>
      <c r="E1057" s="94">
        <f>0.8+0.8+0.8+0.8</f>
        <v>3.2</v>
      </c>
      <c r="F1057" s="95">
        <v>10000</v>
      </c>
      <c r="G1057" s="67">
        <f>E1057*F1057</f>
        <v>32000</v>
      </c>
      <c r="H1057" s="73"/>
    </row>
    <row r="1058" spans="1:8" ht="17.2" customHeight="1" x14ac:dyDescent="0.3">
      <c r="A1058" s="63"/>
      <c r="B1058" s="523"/>
      <c r="C1058" s="524"/>
      <c r="D1058" s="93"/>
      <c r="E1058" s="94"/>
      <c r="F1058" s="95"/>
      <c r="G1058" s="67"/>
      <c r="H1058" s="73"/>
    </row>
    <row r="1059" spans="1:8" ht="17.2" customHeight="1" x14ac:dyDescent="0.3">
      <c r="A1059" s="63"/>
      <c r="B1059" s="523"/>
      <c r="C1059" s="524"/>
      <c r="D1059" s="93"/>
      <c r="E1059" s="94"/>
      <c r="F1059" s="95"/>
      <c r="G1059" s="67"/>
      <c r="H1059" s="73"/>
    </row>
    <row r="1060" spans="1:8" ht="17.2" customHeight="1" x14ac:dyDescent="0.3">
      <c r="A1060" s="70" t="s">
        <v>46</v>
      </c>
      <c r="E1060" s="71" t="s">
        <v>47</v>
      </c>
      <c r="F1060" s="71"/>
      <c r="G1060" s="71"/>
      <c r="H1060" s="76">
        <f>ROUND(SUM(G1053:G1059),2)</f>
        <v>262212.5</v>
      </c>
    </row>
    <row r="1061" spans="1:8" ht="17.2" customHeight="1" x14ac:dyDescent="0.3">
      <c r="A1061" s="61" t="s">
        <v>48</v>
      </c>
      <c r="B1061" s="525" t="s">
        <v>49</v>
      </c>
      <c r="C1061" s="526"/>
      <c r="D1061" s="526"/>
      <c r="E1061" s="526"/>
      <c r="F1061" s="526"/>
      <c r="G1061" s="527"/>
      <c r="H1061" s="73"/>
    </row>
    <row r="1062" spans="1:8" ht="17.2" customHeight="1" x14ac:dyDescent="0.3">
      <c r="A1062" s="62" t="s">
        <v>50</v>
      </c>
      <c r="B1062" s="62" t="s">
        <v>34</v>
      </c>
      <c r="C1062" s="62" t="s">
        <v>51</v>
      </c>
      <c r="D1062" s="62" t="s">
        <v>52</v>
      </c>
      <c r="E1062" s="74" t="s">
        <v>53</v>
      </c>
      <c r="F1062" s="64" t="s">
        <v>260</v>
      </c>
      <c r="G1062" s="64" t="s">
        <v>38</v>
      </c>
      <c r="H1062" s="73"/>
    </row>
    <row r="1063" spans="1:8" ht="17.2" customHeight="1" x14ac:dyDescent="0.3">
      <c r="A1063" s="62">
        <v>1</v>
      </c>
      <c r="B1063" s="63" t="s">
        <v>79</v>
      </c>
      <c r="C1063" s="77">
        <v>120000</v>
      </c>
      <c r="D1063" s="78">
        <v>0.75</v>
      </c>
      <c r="E1063" s="79">
        <f>+(A1063*C1063)+(A1063*C1063*D1063)</f>
        <v>210000</v>
      </c>
      <c r="F1063" s="75">
        <v>2</v>
      </c>
      <c r="G1063" s="65">
        <f>ROUND(E1063/(F1063),2)</f>
        <v>105000</v>
      </c>
      <c r="H1063" s="73"/>
    </row>
    <row r="1064" spans="1:8" ht="17.2" customHeight="1" x14ac:dyDescent="0.3">
      <c r="A1064" s="62">
        <v>2</v>
      </c>
      <c r="B1064" s="63" t="s">
        <v>80</v>
      </c>
      <c r="C1064" s="77">
        <v>70000</v>
      </c>
      <c r="D1064" s="78">
        <v>0.75</v>
      </c>
      <c r="E1064" s="79">
        <f>+(A1064*C1064)+(A1064*C1064*D1064)</f>
        <v>245000</v>
      </c>
      <c r="F1064" s="75">
        <v>2</v>
      </c>
      <c r="G1064" s="65">
        <f>ROUND(E1064/(F1064),2)</f>
        <v>122500</v>
      </c>
      <c r="H1064" s="73"/>
    </row>
    <row r="1065" spans="1:8" ht="17.2" customHeight="1" x14ac:dyDescent="0.3">
      <c r="A1065" s="63"/>
      <c r="B1065" s="63"/>
      <c r="C1065" s="63"/>
      <c r="D1065" s="63"/>
      <c r="E1065" s="64"/>
      <c r="F1065" s="64"/>
      <c r="G1065" s="64"/>
      <c r="H1065" s="73"/>
    </row>
    <row r="1066" spans="1:8" ht="17.2" customHeight="1" x14ac:dyDescent="0.3">
      <c r="A1066" s="70"/>
      <c r="E1066" s="71" t="s">
        <v>54</v>
      </c>
      <c r="F1066" s="71"/>
      <c r="G1066" s="71"/>
      <c r="H1066" s="72">
        <f>ROUND(SUM(G1063)+(G1064),2)</f>
        <v>227500</v>
      </c>
    </row>
    <row r="1067" spans="1:8" ht="17.2" customHeight="1" x14ac:dyDescent="0.3">
      <c r="A1067" s="61" t="s">
        <v>55</v>
      </c>
      <c r="B1067" s="525" t="s">
        <v>56</v>
      </c>
      <c r="C1067" s="526"/>
      <c r="D1067" s="526"/>
      <c r="E1067" s="526"/>
      <c r="F1067" s="526"/>
      <c r="G1067" s="527"/>
      <c r="H1067" s="73"/>
    </row>
    <row r="1068" spans="1:8" ht="17.2" customHeight="1" x14ac:dyDescent="0.3">
      <c r="A1068" s="63"/>
      <c r="B1068" s="63" t="s">
        <v>34</v>
      </c>
      <c r="C1068" s="62" t="s">
        <v>43</v>
      </c>
      <c r="D1068" s="62" t="s">
        <v>57</v>
      </c>
      <c r="E1068" s="62" t="s">
        <v>58</v>
      </c>
      <c r="F1068" s="62"/>
      <c r="G1068" s="64" t="s">
        <v>59</v>
      </c>
      <c r="H1068" s="73"/>
    </row>
    <row r="1069" spans="1:8" ht="17.2" customHeight="1" x14ac:dyDescent="0.3">
      <c r="A1069" s="63"/>
      <c r="B1069" s="63" t="s">
        <v>82</v>
      </c>
      <c r="C1069" s="80" t="s">
        <v>83</v>
      </c>
      <c r="D1069" s="63">
        <v>5.0000000000000001E-3</v>
      </c>
      <c r="E1069" s="64">
        <f>3000000/15</f>
        <v>200000</v>
      </c>
      <c r="F1069" s="64"/>
      <c r="G1069" s="64">
        <f>D1069*E1069</f>
        <v>1000</v>
      </c>
      <c r="H1069" s="73"/>
    </row>
    <row r="1070" spans="1:8" ht="17.2" customHeight="1" x14ac:dyDescent="0.3">
      <c r="A1070" s="63"/>
      <c r="B1070" s="63"/>
      <c r="C1070" s="81"/>
      <c r="D1070" s="63"/>
      <c r="E1070" s="64"/>
      <c r="F1070" s="64"/>
      <c r="G1070" s="64"/>
      <c r="H1070" s="73"/>
    </row>
    <row r="1071" spans="1:8" ht="17.2" customHeight="1" x14ac:dyDescent="0.3">
      <c r="A1071" s="63"/>
      <c r="B1071" s="63"/>
      <c r="C1071" s="63"/>
      <c r="D1071" s="63"/>
      <c r="E1071" s="64"/>
      <c r="F1071" s="64"/>
      <c r="G1071" s="64"/>
      <c r="H1071" s="73"/>
    </row>
    <row r="1072" spans="1:8" ht="17.2" customHeight="1" x14ac:dyDescent="0.3">
      <c r="A1072" s="70"/>
      <c r="E1072" s="71" t="s">
        <v>54</v>
      </c>
      <c r="F1072" s="71"/>
      <c r="G1072" s="71"/>
      <c r="H1072" s="119">
        <f>ROUND(SUM(G1069)+(G1070),0)</f>
        <v>1000</v>
      </c>
    </row>
    <row r="1073" spans="1:8" ht="17.2" customHeight="1" x14ac:dyDescent="0.3">
      <c r="A1073" s="59"/>
      <c r="E1073" s="71"/>
      <c r="F1073" s="71"/>
      <c r="G1073" s="71"/>
      <c r="H1073" s="73"/>
    </row>
    <row r="1074" spans="1:8" ht="17.2" customHeight="1" x14ac:dyDescent="0.3">
      <c r="A1074" s="59"/>
      <c r="D1074" s="82" t="s">
        <v>60</v>
      </c>
      <c r="E1074" s="83"/>
      <c r="F1074" s="83"/>
      <c r="G1074" s="83"/>
      <c r="H1074" s="72">
        <f>ROUND(SUM(H1050:H1073),2)</f>
        <v>513462.5</v>
      </c>
    </row>
    <row r="1075" spans="1:8" ht="17.2" customHeight="1" x14ac:dyDescent="0.3">
      <c r="A1075" s="59"/>
      <c r="E1075" s="71"/>
      <c r="F1075" s="71"/>
      <c r="G1075" s="71"/>
      <c r="H1075" s="73"/>
    </row>
    <row r="1076" spans="1:8" ht="17.2" customHeight="1" x14ac:dyDescent="0.3">
      <c r="A1076" s="61" t="s">
        <v>61</v>
      </c>
      <c r="B1076" s="525" t="s">
        <v>62</v>
      </c>
      <c r="C1076" s="526"/>
      <c r="D1076" s="526"/>
      <c r="E1076" s="526"/>
      <c r="F1076" s="526"/>
      <c r="G1076" s="527"/>
      <c r="H1076" s="73"/>
    </row>
    <row r="1077" spans="1:8" ht="17.2" customHeight="1" x14ac:dyDescent="0.3">
      <c r="A1077" s="62"/>
      <c r="B1077" s="518" t="s">
        <v>34</v>
      </c>
      <c r="C1077" s="519"/>
      <c r="D1077" s="518" t="s">
        <v>63</v>
      </c>
      <c r="E1077" s="519"/>
      <c r="F1077" s="528" t="s">
        <v>64</v>
      </c>
      <c r="G1077" s="529"/>
      <c r="H1077" s="73"/>
    </row>
    <row r="1078" spans="1:8" ht="17.2" customHeight="1" x14ac:dyDescent="0.3">
      <c r="A1078" s="63"/>
      <c r="B1078" s="518" t="s">
        <v>20</v>
      </c>
      <c r="C1078" s="519"/>
      <c r="D1078" s="520">
        <v>0.28000000000000003</v>
      </c>
      <c r="E1078" s="519"/>
      <c r="F1078" s="521">
        <f>+H1074*D1078</f>
        <v>143769.5</v>
      </c>
      <c r="G1078" s="522"/>
      <c r="H1078" s="73"/>
    </row>
    <row r="1079" spans="1:8" ht="17.2" customHeight="1" x14ac:dyDescent="0.3">
      <c r="A1079" s="63"/>
      <c r="B1079" s="518" t="s">
        <v>21</v>
      </c>
      <c r="C1079" s="519"/>
      <c r="D1079" s="520">
        <v>0.01</v>
      </c>
      <c r="E1079" s="519"/>
      <c r="F1079" s="521">
        <f>+H1074*D1079</f>
        <v>5134.625</v>
      </c>
      <c r="G1079" s="522"/>
      <c r="H1079" s="73"/>
    </row>
    <row r="1080" spans="1:8" ht="17.2" customHeight="1" x14ac:dyDescent="0.3">
      <c r="A1080" s="63"/>
      <c r="B1080" s="518" t="s">
        <v>22</v>
      </c>
      <c r="C1080" s="519"/>
      <c r="D1080" s="520">
        <v>0.03</v>
      </c>
      <c r="E1080" s="519"/>
      <c r="F1080" s="521">
        <f>+H1074*D1080</f>
        <v>15403.875</v>
      </c>
      <c r="G1080" s="522"/>
      <c r="H1080" s="73"/>
    </row>
    <row r="1081" spans="1:8" ht="17.2" customHeight="1" x14ac:dyDescent="0.3">
      <c r="A1081" s="63"/>
      <c r="B1081" s="518" t="s">
        <v>188</v>
      </c>
      <c r="C1081" s="519"/>
      <c r="D1081" s="520">
        <v>0.19</v>
      </c>
      <c r="E1081" s="519"/>
      <c r="F1081" s="521">
        <f>D1081*F1080</f>
        <v>2926.7362499999999</v>
      </c>
      <c r="G1081" s="522"/>
      <c r="H1081" s="73"/>
    </row>
    <row r="1082" spans="1:8" ht="17.2" customHeight="1" x14ac:dyDescent="0.3">
      <c r="A1082" s="59"/>
      <c r="D1082" s="82" t="s">
        <v>65</v>
      </c>
      <c r="E1082" s="83"/>
      <c r="F1082" s="83"/>
      <c r="G1082" s="83"/>
      <c r="H1082" s="72">
        <f>SUM(F1078:G1081)</f>
        <v>167234.73624999999</v>
      </c>
    </row>
    <row r="1083" spans="1:8" ht="17.2" customHeight="1" x14ac:dyDescent="0.3">
      <c r="A1083" s="59"/>
      <c r="E1083" s="71"/>
      <c r="F1083" s="71"/>
      <c r="G1083" s="71"/>
      <c r="H1083" s="73"/>
    </row>
    <row r="1084" spans="1:8" ht="17.2" customHeight="1" x14ac:dyDescent="0.3">
      <c r="A1084" s="59"/>
      <c r="D1084" s="82" t="s">
        <v>66</v>
      </c>
      <c r="E1084" s="83"/>
      <c r="F1084" s="83"/>
      <c r="G1084" s="71"/>
      <c r="H1084" s="72">
        <f>H1074+H1082</f>
        <v>680697.23624999996</v>
      </c>
    </row>
    <row r="1085" spans="1:8" ht="17.2" customHeight="1" x14ac:dyDescent="0.3">
      <c r="A1085" s="59"/>
      <c r="D1085" s="82"/>
      <c r="E1085" s="83"/>
      <c r="F1085" s="83"/>
      <c r="G1085" s="71"/>
      <c r="H1085" s="73"/>
    </row>
    <row r="1086" spans="1:8" ht="17.2" customHeight="1" x14ac:dyDescent="0.3">
      <c r="A1086" s="59"/>
      <c r="E1086" s="83"/>
      <c r="F1086" s="83"/>
      <c r="G1086" s="71"/>
      <c r="H1086" s="73"/>
    </row>
    <row r="1087" spans="1:8" ht="17.2" customHeight="1" x14ac:dyDescent="0.3">
      <c r="A1087" s="84"/>
      <c r="B1087" s="85"/>
      <c r="E1087" s="46"/>
      <c r="F1087" s="47"/>
      <c r="G1087" s="48"/>
      <c r="H1087" s="73"/>
    </row>
    <row r="1088" spans="1:8" ht="17.2" customHeight="1" x14ac:dyDescent="0.3">
      <c r="A1088" s="86" t="s">
        <v>67</v>
      </c>
      <c r="B1088" s="50" t="s">
        <v>68</v>
      </c>
      <c r="E1088" s="49" t="s">
        <v>27</v>
      </c>
      <c r="F1088" s="50"/>
      <c r="G1088" s="50"/>
      <c r="H1088" s="87"/>
    </row>
    <row r="1089" spans="1:15" ht="17.2" customHeight="1" x14ac:dyDescent="0.3">
      <c r="A1089" s="88" t="s">
        <v>28</v>
      </c>
      <c r="B1089" s="50"/>
      <c r="E1089" s="50" t="str">
        <f ca="1">+$E$52</f>
        <v>SECRETARIO DE PLANEACION Y OBRAS PUBLICAS</v>
      </c>
      <c r="F1089" s="50"/>
      <c r="G1089" s="50"/>
      <c r="H1089" s="87"/>
    </row>
    <row r="1090" spans="1:15" ht="17.2" customHeight="1" x14ac:dyDescent="0.3">
      <c r="A1090" s="88"/>
      <c r="B1090" s="50"/>
      <c r="E1090" s="90" t="str">
        <f ca="1">+$E$53</f>
        <v>SAN MIGUEL - PUTUMAYO</v>
      </c>
      <c r="F1090" s="50"/>
      <c r="G1090" s="50"/>
      <c r="H1090" s="87"/>
    </row>
    <row r="1091" spans="1:15" ht="17.2" customHeight="1" x14ac:dyDescent="0.3">
      <c r="A1091" s="556"/>
      <c r="B1091" s="557"/>
      <c r="C1091" s="380" t="s">
        <v>2</v>
      </c>
      <c r="D1091" s="382" t="s">
        <v>3</v>
      </c>
      <c r="E1091" s="383"/>
      <c r="F1091" s="1">
        <v>103</v>
      </c>
      <c r="G1091" s="548"/>
      <c r="H1091" s="549"/>
    </row>
    <row r="1092" spans="1:15" ht="17.2" customHeight="1" x14ac:dyDescent="0.3">
      <c r="A1092" s="558"/>
      <c r="B1092" s="559"/>
      <c r="C1092" s="381"/>
      <c r="D1092" s="396" t="s">
        <v>4</v>
      </c>
      <c r="E1092" s="397"/>
      <c r="F1092" s="400">
        <v>51</v>
      </c>
      <c r="G1092" s="550"/>
      <c r="H1092" s="551"/>
    </row>
    <row r="1093" spans="1:15" ht="17.2" customHeight="1" x14ac:dyDescent="0.3">
      <c r="A1093" s="558"/>
      <c r="B1093" s="559"/>
      <c r="C1093" s="5" t="s">
        <v>5</v>
      </c>
      <c r="D1093" s="398"/>
      <c r="E1093" s="399"/>
      <c r="F1093" s="401"/>
      <c r="G1093" s="550"/>
      <c r="H1093" s="551"/>
    </row>
    <row r="1094" spans="1:15" ht="26.85" customHeight="1" x14ac:dyDescent="0.3">
      <c r="A1094" s="558"/>
      <c r="B1094" s="559"/>
      <c r="C1094" s="55" t="s">
        <v>6</v>
      </c>
      <c r="D1094" s="402" t="s">
        <v>7</v>
      </c>
      <c r="E1094" s="403"/>
      <c r="F1094" s="7">
        <v>1</v>
      </c>
      <c r="G1094" s="550"/>
      <c r="H1094" s="551"/>
    </row>
    <row r="1095" spans="1:15" ht="17.2" customHeight="1" x14ac:dyDescent="0.3">
      <c r="A1095" s="558"/>
      <c r="B1095" s="559"/>
      <c r="C1095" s="530" t="s">
        <v>8</v>
      </c>
      <c r="D1095" s="532" t="s">
        <v>9</v>
      </c>
      <c r="E1095" s="533"/>
      <c r="F1095" s="5" t="s">
        <v>10</v>
      </c>
      <c r="G1095" s="550"/>
      <c r="H1095" s="551"/>
    </row>
    <row r="1096" spans="1:15" ht="17.2" customHeight="1" x14ac:dyDescent="0.3">
      <c r="A1096" s="560"/>
      <c r="B1096" s="561"/>
      <c r="C1096" s="531"/>
      <c r="D1096" s="534"/>
      <c r="E1096" s="535"/>
      <c r="F1096" s="8">
        <f>$F$6</f>
        <v>45402</v>
      </c>
      <c r="G1096" s="552"/>
      <c r="H1096" s="553"/>
    </row>
    <row r="1097" spans="1:15" ht="17.2" customHeight="1" thickBot="1" x14ac:dyDescent="0.35">
      <c r="A1097" s="536"/>
      <c r="B1097" s="537"/>
      <c r="C1097" s="537"/>
      <c r="D1097" s="537"/>
      <c r="E1097" s="537"/>
      <c r="F1097" s="537"/>
      <c r="G1097" s="537"/>
      <c r="H1097" s="538"/>
    </row>
    <row r="1098" spans="1:15" ht="28.15" customHeight="1" thickBot="1" x14ac:dyDescent="0.35">
      <c r="A1098" s="92">
        <v>4.5999999999999996</v>
      </c>
      <c r="B1098" s="539" t="str">
        <f>VLOOKUP(A1098,PRESUPUESTO!$A$14:$G$71,2,)</f>
        <v>Punto Sanitario 2"</v>
      </c>
      <c r="C1098" s="540"/>
      <c r="D1098" s="540"/>
      <c r="E1098" s="540"/>
      <c r="F1098" s="541"/>
      <c r="G1098" s="57" t="s">
        <v>31</v>
      </c>
      <c r="H1098" s="58" t="str">
        <f>VLOOKUP(A1098,PRESUPUESTO!$A$14:$G$71,4,)</f>
        <v>UND</v>
      </c>
    </row>
    <row r="1099" spans="1:15" ht="17.2" customHeight="1" x14ac:dyDescent="0.3">
      <c r="A1099" s="59"/>
      <c r="H1099" s="60"/>
    </row>
    <row r="1100" spans="1:15" ht="17.2" customHeight="1" x14ac:dyDescent="0.3">
      <c r="A1100" s="61" t="s">
        <v>32</v>
      </c>
      <c r="B1100" s="525" t="s">
        <v>33</v>
      </c>
      <c r="C1100" s="526"/>
      <c r="D1100" s="526"/>
      <c r="E1100" s="526"/>
      <c r="F1100" s="526"/>
      <c r="G1100" s="527"/>
      <c r="H1100" s="60"/>
    </row>
    <row r="1101" spans="1:15" ht="17.2" customHeight="1" x14ac:dyDescent="0.3">
      <c r="A1101" s="62"/>
      <c r="B1101" s="518" t="s">
        <v>34</v>
      </c>
      <c r="C1101" s="519"/>
      <c r="D1101" s="62" t="s">
        <v>35</v>
      </c>
      <c r="E1101" s="62" t="s">
        <v>69</v>
      </c>
      <c r="F1101" s="62" t="s">
        <v>70</v>
      </c>
      <c r="G1101" s="62" t="s">
        <v>38</v>
      </c>
      <c r="H1101" s="60"/>
    </row>
    <row r="1102" spans="1:15" ht="17.2" customHeight="1" x14ac:dyDescent="0.3">
      <c r="A1102" s="63"/>
      <c r="B1102" s="542" t="s">
        <v>39</v>
      </c>
      <c r="C1102" s="543"/>
      <c r="D1102" s="63"/>
      <c r="E1102" s="64"/>
      <c r="F1102" s="64">
        <v>0.1</v>
      </c>
      <c r="G1102" s="65">
        <f>ROUND(H1120*F1102,2)</f>
        <v>3033.33</v>
      </c>
      <c r="H1102" s="66"/>
    </row>
    <row r="1103" spans="1:15" ht="17.2" customHeight="1" x14ac:dyDescent="0.3">
      <c r="A1103" s="63"/>
      <c r="B1103" s="542"/>
      <c r="C1103" s="543"/>
      <c r="D1103" s="62"/>
      <c r="E1103" s="68"/>
      <c r="F1103" s="64"/>
      <c r="G1103" s="69"/>
      <c r="H1103" s="66"/>
      <c r="M1103" s="54" t="s">
        <v>255</v>
      </c>
      <c r="N1103" s="54">
        <f>0.8*0.8*0.04</f>
        <v>2.5600000000000005E-2</v>
      </c>
    </row>
    <row r="1104" spans="1:15" ht="17.2" customHeight="1" x14ac:dyDescent="0.3">
      <c r="A1104" s="70"/>
      <c r="E1104" s="71" t="s">
        <v>40</v>
      </c>
      <c r="F1104" s="71"/>
      <c r="G1104" s="71"/>
      <c r="H1104" s="72">
        <f>ROUND(SUM(G1102:G1103),2)</f>
        <v>3033.33</v>
      </c>
      <c r="M1104" s="54" t="s">
        <v>256</v>
      </c>
      <c r="N1104" s="54">
        <f>1*0.8*4</f>
        <v>3.2</v>
      </c>
      <c r="O1104" s="54">
        <f>N1104*0.03</f>
        <v>9.6000000000000002E-2</v>
      </c>
    </row>
    <row r="1105" spans="1:14" ht="17.2" customHeight="1" x14ac:dyDescent="0.3">
      <c r="A1105" s="61" t="s">
        <v>41</v>
      </c>
      <c r="B1105" s="525" t="s">
        <v>42</v>
      </c>
      <c r="C1105" s="526"/>
      <c r="D1105" s="526"/>
      <c r="E1105" s="526"/>
      <c r="F1105" s="526"/>
      <c r="G1105" s="527"/>
      <c r="H1105" s="73"/>
      <c r="M1105" s="54" t="s">
        <v>257</v>
      </c>
      <c r="N1105" s="54">
        <f>0.8*0.8*0.1</f>
        <v>6.4000000000000015E-2</v>
      </c>
    </row>
    <row r="1106" spans="1:14" ht="17.2" customHeight="1" x14ac:dyDescent="0.3">
      <c r="A1106" s="62"/>
      <c r="B1106" s="518" t="s">
        <v>34</v>
      </c>
      <c r="C1106" s="519"/>
      <c r="D1106" s="62" t="s">
        <v>43</v>
      </c>
      <c r="E1106" s="74" t="s">
        <v>44</v>
      </c>
      <c r="F1106" s="74" t="s">
        <v>45</v>
      </c>
      <c r="G1106" s="74" t="s">
        <v>38</v>
      </c>
      <c r="H1106" s="73"/>
      <c r="M1106" s="54" t="s">
        <v>258</v>
      </c>
      <c r="N1106" s="54">
        <f>3.2*0.02</f>
        <v>6.4000000000000001E-2</v>
      </c>
    </row>
    <row r="1107" spans="1:14" ht="19.149999999999999" customHeight="1" x14ac:dyDescent="0.3">
      <c r="A1107" s="63"/>
      <c r="B1107" s="554" t="s">
        <v>284</v>
      </c>
      <c r="C1107" s="555"/>
      <c r="D1107" s="93" t="s">
        <v>233</v>
      </c>
      <c r="E1107" s="94">
        <v>3</v>
      </c>
      <c r="F1107" s="272">
        <v>10000</v>
      </c>
      <c r="G1107" s="120">
        <f>ROUND(E1107*F1107,2)</f>
        <v>30000</v>
      </c>
      <c r="H1107" s="73"/>
      <c r="M1107" s="54" t="s">
        <v>259</v>
      </c>
      <c r="N1107" s="54">
        <f>N1106+N1105+O1104+N1103</f>
        <v>0.24960000000000002</v>
      </c>
    </row>
    <row r="1108" spans="1:14" ht="17.2" customHeight="1" x14ac:dyDescent="0.3">
      <c r="A1108" s="63"/>
      <c r="B1108" s="523" t="s">
        <v>285</v>
      </c>
      <c r="C1108" s="524"/>
      <c r="D1108" s="93" t="s">
        <v>212</v>
      </c>
      <c r="E1108" s="94">
        <v>0.5</v>
      </c>
      <c r="F1108" s="272">
        <v>5000</v>
      </c>
      <c r="G1108" s="67">
        <f t="shared" ref="G1108:G1111" si="11">ROUND(E1108*F1108,2)</f>
        <v>2500</v>
      </c>
      <c r="H1108" s="73"/>
    </row>
    <row r="1109" spans="1:14" ht="17.2" customHeight="1" x14ac:dyDescent="0.3">
      <c r="A1109" s="63" t="s">
        <v>46</v>
      </c>
      <c r="B1109" s="523" t="s">
        <v>286</v>
      </c>
      <c r="C1109" s="524"/>
      <c r="D1109" s="93" t="s">
        <v>212</v>
      </c>
      <c r="E1109" s="94">
        <v>1</v>
      </c>
      <c r="F1109" s="95">
        <v>5000</v>
      </c>
      <c r="G1109" s="67">
        <f t="shared" si="11"/>
        <v>5000</v>
      </c>
      <c r="H1109" s="73"/>
    </row>
    <row r="1110" spans="1:14" ht="17.2" customHeight="1" x14ac:dyDescent="0.3">
      <c r="A1110" s="63"/>
      <c r="B1110" s="546" t="s">
        <v>209</v>
      </c>
      <c r="C1110" s="547"/>
      <c r="D1110" s="270" t="s">
        <v>208</v>
      </c>
      <c r="E1110" s="270">
        <v>0.01</v>
      </c>
      <c r="F1110" s="95">
        <v>150000</v>
      </c>
      <c r="G1110" s="67">
        <f t="shared" si="11"/>
        <v>1500</v>
      </c>
      <c r="H1110" s="73"/>
    </row>
    <row r="1111" spans="1:14" ht="17.2" customHeight="1" x14ac:dyDescent="0.3">
      <c r="A1111" s="63"/>
      <c r="B1111" s="546" t="s">
        <v>210</v>
      </c>
      <c r="C1111" s="547"/>
      <c r="D1111" s="270" t="s">
        <v>208</v>
      </c>
      <c r="E1111" s="270">
        <v>0.01</v>
      </c>
      <c r="F1111" s="95">
        <v>110000</v>
      </c>
      <c r="G1111" s="67">
        <f t="shared" si="11"/>
        <v>1100</v>
      </c>
      <c r="H1111" s="73"/>
    </row>
    <row r="1112" spans="1:14" ht="17.2" customHeight="1" x14ac:dyDescent="0.3">
      <c r="A1112" s="63"/>
      <c r="B1112" s="523" t="s">
        <v>247</v>
      </c>
      <c r="C1112" s="524"/>
      <c r="D1112" s="93" t="s">
        <v>212</v>
      </c>
      <c r="E1112" s="94">
        <v>0.1</v>
      </c>
      <c r="F1112" s="95">
        <v>6000</v>
      </c>
      <c r="G1112" s="67">
        <f>E1112*F1112</f>
        <v>600</v>
      </c>
      <c r="H1112" s="73"/>
    </row>
    <row r="1113" spans="1:14" ht="17.2" customHeight="1" x14ac:dyDescent="0.3">
      <c r="A1113" s="63"/>
      <c r="B1113" s="523"/>
      <c r="C1113" s="524"/>
      <c r="D1113" s="93"/>
      <c r="E1113" s="94"/>
      <c r="F1113" s="95"/>
      <c r="G1113" s="67"/>
      <c r="H1113" s="73"/>
    </row>
    <row r="1114" spans="1:14" ht="17.2" customHeight="1" x14ac:dyDescent="0.3">
      <c r="A1114" s="70" t="s">
        <v>46</v>
      </c>
      <c r="E1114" s="71" t="s">
        <v>47</v>
      </c>
      <c r="F1114" s="71"/>
      <c r="G1114" s="71"/>
      <c r="H1114" s="76">
        <f>ROUND(SUM(G1107:G1113),2)</f>
        <v>40700</v>
      </c>
    </row>
    <row r="1115" spans="1:14" ht="17.2" customHeight="1" x14ac:dyDescent="0.3">
      <c r="A1115" s="61" t="s">
        <v>48</v>
      </c>
      <c r="B1115" s="525" t="s">
        <v>49</v>
      </c>
      <c r="C1115" s="526"/>
      <c r="D1115" s="526"/>
      <c r="E1115" s="526"/>
      <c r="F1115" s="526"/>
      <c r="G1115" s="527"/>
      <c r="H1115" s="73"/>
    </row>
    <row r="1116" spans="1:14" ht="17.2" customHeight="1" x14ac:dyDescent="0.3">
      <c r="A1116" s="62" t="s">
        <v>50</v>
      </c>
      <c r="B1116" s="62" t="s">
        <v>34</v>
      </c>
      <c r="C1116" s="62" t="s">
        <v>51</v>
      </c>
      <c r="D1116" s="62" t="s">
        <v>52</v>
      </c>
      <c r="E1116" s="74" t="s">
        <v>53</v>
      </c>
      <c r="F1116" s="64" t="s">
        <v>260</v>
      </c>
      <c r="G1116" s="64" t="s">
        <v>38</v>
      </c>
      <c r="H1116" s="73"/>
    </row>
    <row r="1117" spans="1:14" ht="17.2" customHeight="1" x14ac:dyDescent="0.3">
      <c r="A1117" s="62">
        <v>1</v>
      </c>
      <c r="B1117" s="63" t="s">
        <v>79</v>
      </c>
      <c r="C1117" s="77">
        <v>120000</v>
      </c>
      <c r="D1117" s="78">
        <v>0.75</v>
      </c>
      <c r="E1117" s="79">
        <f>+(A1117*C1117)+(A1117*C1117*D1117)</f>
        <v>210000</v>
      </c>
      <c r="F1117" s="75">
        <v>15</v>
      </c>
      <c r="G1117" s="65">
        <f>ROUND(E1117/(F1117),2)</f>
        <v>14000</v>
      </c>
      <c r="H1117" s="73"/>
    </row>
    <row r="1118" spans="1:14" ht="17.2" customHeight="1" x14ac:dyDescent="0.3">
      <c r="A1118" s="62">
        <v>2</v>
      </c>
      <c r="B1118" s="63" t="s">
        <v>80</v>
      </c>
      <c r="C1118" s="77">
        <v>70000</v>
      </c>
      <c r="D1118" s="78">
        <v>0.75</v>
      </c>
      <c r="E1118" s="79">
        <f>+(A1118*C1118)+(A1118*C1118*D1118)</f>
        <v>245000</v>
      </c>
      <c r="F1118" s="75">
        <v>15</v>
      </c>
      <c r="G1118" s="65">
        <f>ROUND(E1118/(F1118),2)</f>
        <v>16333.33</v>
      </c>
      <c r="H1118" s="73"/>
    </row>
    <row r="1119" spans="1:14" ht="17.2" customHeight="1" x14ac:dyDescent="0.3">
      <c r="A1119" s="63"/>
      <c r="B1119" s="63"/>
      <c r="C1119" s="63"/>
      <c r="D1119" s="63"/>
      <c r="E1119" s="64"/>
      <c r="F1119" s="64"/>
      <c r="G1119" s="64"/>
      <c r="H1119" s="73"/>
    </row>
    <row r="1120" spans="1:14" ht="17.2" customHeight="1" x14ac:dyDescent="0.3">
      <c r="A1120" s="70"/>
      <c r="E1120" s="71" t="s">
        <v>54</v>
      </c>
      <c r="F1120" s="71"/>
      <c r="G1120" s="71"/>
      <c r="H1120" s="72">
        <f>ROUND(SUM(G1117)+(G1118),2)</f>
        <v>30333.33</v>
      </c>
    </row>
    <row r="1121" spans="1:8" ht="17.2" customHeight="1" x14ac:dyDescent="0.3">
      <c r="A1121" s="61" t="s">
        <v>55</v>
      </c>
      <c r="B1121" s="525" t="s">
        <v>56</v>
      </c>
      <c r="C1121" s="526"/>
      <c r="D1121" s="526"/>
      <c r="E1121" s="526"/>
      <c r="F1121" s="526"/>
      <c r="G1121" s="527"/>
      <c r="H1121" s="73"/>
    </row>
    <row r="1122" spans="1:8" ht="17.2" customHeight="1" x14ac:dyDescent="0.3">
      <c r="A1122" s="63"/>
      <c r="B1122" s="63" t="s">
        <v>34</v>
      </c>
      <c r="C1122" s="62" t="s">
        <v>43</v>
      </c>
      <c r="D1122" s="62" t="s">
        <v>57</v>
      </c>
      <c r="E1122" s="62" t="s">
        <v>58</v>
      </c>
      <c r="F1122" s="62"/>
      <c r="G1122" s="64" t="s">
        <v>59</v>
      </c>
      <c r="H1122" s="73"/>
    </row>
    <row r="1123" spans="1:8" ht="17.2" customHeight="1" x14ac:dyDescent="0.3">
      <c r="A1123" s="63"/>
      <c r="B1123" s="63" t="s">
        <v>82</v>
      </c>
      <c r="C1123" s="80" t="s">
        <v>83</v>
      </c>
      <c r="D1123" s="63">
        <v>5.0000000000000001E-3</v>
      </c>
      <c r="E1123" s="64">
        <f>3000000/15</f>
        <v>200000</v>
      </c>
      <c r="F1123" s="64"/>
      <c r="G1123" s="64">
        <f>D1123*E1123</f>
        <v>1000</v>
      </c>
      <c r="H1123" s="73"/>
    </row>
    <row r="1124" spans="1:8" ht="17.2" customHeight="1" x14ac:dyDescent="0.3">
      <c r="A1124" s="63"/>
      <c r="B1124" s="63"/>
      <c r="C1124" s="81"/>
      <c r="D1124" s="63"/>
      <c r="E1124" s="64"/>
      <c r="F1124" s="64"/>
      <c r="G1124" s="64"/>
      <c r="H1124" s="73"/>
    </row>
    <row r="1125" spans="1:8" ht="17.2" customHeight="1" x14ac:dyDescent="0.3">
      <c r="A1125" s="63"/>
      <c r="B1125" s="63"/>
      <c r="C1125" s="63"/>
      <c r="D1125" s="63"/>
      <c r="E1125" s="64"/>
      <c r="F1125" s="64"/>
      <c r="G1125" s="64"/>
      <c r="H1125" s="73"/>
    </row>
    <row r="1126" spans="1:8" ht="17.2" customHeight="1" x14ac:dyDescent="0.3">
      <c r="A1126" s="70"/>
      <c r="E1126" s="71" t="s">
        <v>54</v>
      </c>
      <c r="F1126" s="71"/>
      <c r="G1126" s="71"/>
      <c r="H1126" s="119">
        <f>ROUND(SUM(G1123)+(G1124),0)</f>
        <v>1000</v>
      </c>
    </row>
    <row r="1127" spans="1:8" ht="17.2" customHeight="1" x14ac:dyDescent="0.3">
      <c r="A1127" s="59"/>
      <c r="E1127" s="71"/>
      <c r="F1127" s="71"/>
      <c r="G1127" s="71"/>
      <c r="H1127" s="73"/>
    </row>
    <row r="1128" spans="1:8" ht="17.2" customHeight="1" x14ac:dyDescent="0.3">
      <c r="A1128" s="59"/>
      <c r="D1128" s="82" t="s">
        <v>60</v>
      </c>
      <c r="E1128" s="83"/>
      <c r="F1128" s="83"/>
      <c r="G1128" s="83"/>
      <c r="H1128" s="72">
        <f>ROUND(SUM(H1104:H1127),2)</f>
        <v>75066.66</v>
      </c>
    </row>
    <row r="1129" spans="1:8" ht="17.2" customHeight="1" x14ac:dyDescent="0.3">
      <c r="A1129" s="59"/>
      <c r="E1129" s="71"/>
      <c r="F1129" s="71"/>
      <c r="G1129" s="71"/>
      <c r="H1129" s="73"/>
    </row>
    <row r="1130" spans="1:8" ht="17.2" customHeight="1" x14ac:dyDescent="0.3">
      <c r="A1130" s="61" t="s">
        <v>61</v>
      </c>
      <c r="B1130" s="525" t="s">
        <v>62</v>
      </c>
      <c r="C1130" s="526"/>
      <c r="D1130" s="526"/>
      <c r="E1130" s="526"/>
      <c r="F1130" s="526"/>
      <c r="G1130" s="527"/>
      <c r="H1130" s="73"/>
    </row>
    <row r="1131" spans="1:8" ht="17.2" customHeight="1" x14ac:dyDescent="0.3">
      <c r="A1131" s="62"/>
      <c r="B1131" s="518" t="s">
        <v>34</v>
      </c>
      <c r="C1131" s="519"/>
      <c r="D1131" s="518" t="s">
        <v>63</v>
      </c>
      <c r="E1131" s="519"/>
      <c r="F1131" s="528" t="s">
        <v>64</v>
      </c>
      <c r="G1131" s="529"/>
      <c r="H1131" s="73"/>
    </row>
    <row r="1132" spans="1:8" ht="17.2" customHeight="1" x14ac:dyDescent="0.3">
      <c r="A1132" s="63"/>
      <c r="B1132" s="518" t="s">
        <v>20</v>
      </c>
      <c r="C1132" s="519"/>
      <c r="D1132" s="520">
        <v>0.28000000000000003</v>
      </c>
      <c r="E1132" s="519"/>
      <c r="F1132" s="521">
        <f>+H1128*D1132</f>
        <v>21018.664800000002</v>
      </c>
      <c r="G1132" s="522"/>
      <c r="H1132" s="73"/>
    </row>
    <row r="1133" spans="1:8" ht="17.2" customHeight="1" x14ac:dyDescent="0.3">
      <c r="A1133" s="63"/>
      <c r="B1133" s="518" t="s">
        <v>21</v>
      </c>
      <c r="C1133" s="519"/>
      <c r="D1133" s="520">
        <v>0.01</v>
      </c>
      <c r="E1133" s="519"/>
      <c r="F1133" s="521">
        <f>+H1128*D1133</f>
        <v>750.66660000000002</v>
      </c>
      <c r="G1133" s="522"/>
      <c r="H1133" s="73"/>
    </row>
    <row r="1134" spans="1:8" ht="17.2" customHeight="1" x14ac:dyDescent="0.3">
      <c r="A1134" s="63"/>
      <c r="B1134" s="518" t="s">
        <v>22</v>
      </c>
      <c r="C1134" s="519"/>
      <c r="D1134" s="520">
        <v>0.03</v>
      </c>
      <c r="E1134" s="519"/>
      <c r="F1134" s="521">
        <f>+H1128*D1134</f>
        <v>2251.9998000000001</v>
      </c>
      <c r="G1134" s="522"/>
      <c r="H1134" s="73"/>
    </row>
    <row r="1135" spans="1:8" ht="17.2" customHeight="1" x14ac:dyDescent="0.3">
      <c r="A1135" s="63"/>
      <c r="B1135" s="518" t="s">
        <v>188</v>
      </c>
      <c r="C1135" s="519"/>
      <c r="D1135" s="520">
        <v>0.19</v>
      </c>
      <c r="E1135" s="519"/>
      <c r="F1135" s="521">
        <f>D1135*F1134</f>
        <v>427.87996200000003</v>
      </c>
      <c r="G1135" s="522"/>
      <c r="H1135" s="73"/>
    </row>
    <row r="1136" spans="1:8" ht="17.2" customHeight="1" x14ac:dyDescent="0.3">
      <c r="A1136" s="59"/>
      <c r="D1136" s="82" t="s">
        <v>65</v>
      </c>
      <c r="E1136" s="83"/>
      <c r="F1136" s="83"/>
      <c r="G1136" s="83"/>
      <c r="H1136" s="72">
        <f>SUM(F1132:G1135)</f>
        <v>24449.211162000003</v>
      </c>
    </row>
    <row r="1137" spans="1:8" ht="17.2" customHeight="1" x14ac:dyDescent="0.3">
      <c r="A1137" s="59"/>
      <c r="E1137" s="71"/>
      <c r="F1137" s="71"/>
      <c r="G1137" s="71"/>
      <c r="H1137" s="73"/>
    </row>
    <row r="1138" spans="1:8" ht="17.2" customHeight="1" x14ac:dyDescent="0.3">
      <c r="A1138" s="59"/>
      <c r="D1138" s="82" t="s">
        <v>66</v>
      </c>
      <c r="E1138" s="83"/>
      <c r="F1138" s="83"/>
      <c r="G1138" s="71"/>
      <c r="H1138" s="72">
        <f>H1128+H1136</f>
        <v>99515.87116200001</v>
      </c>
    </row>
    <row r="1139" spans="1:8" ht="17.2" customHeight="1" x14ac:dyDescent="0.3">
      <c r="A1139" s="59"/>
      <c r="D1139" s="82"/>
      <c r="E1139" s="83"/>
      <c r="F1139" s="83"/>
      <c r="G1139" s="71"/>
      <c r="H1139" s="73"/>
    </row>
    <row r="1140" spans="1:8" ht="17.2" customHeight="1" x14ac:dyDescent="0.3">
      <c r="A1140" s="59"/>
      <c r="E1140" s="83"/>
      <c r="F1140" s="83"/>
      <c r="G1140" s="71"/>
      <c r="H1140" s="73"/>
    </row>
    <row r="1141" spans="1:8" ht="17.2" customHeight="1" x14ac:dyDescent="0.3">
      <c r="A1141" s="84"/>
      <c r="B1141" s="85"/>
      <c r="E1141" s="46"/>
      <c r="F1141" s="47"/>
      <c r="G1141" s="48"/>
      <c r="H1141" s="73"/>
    </row>
    <row r="1142" spans="1:8" ht="17.2" customHeight="1" x14ac:dyDescent="0.3">
      <c r="A1142" s="86" t="s">
        <v>67</v>
      </c>
      <c r="B1142" s="50" t="s">
        <v>68</v>
      </c>
      <c r="E1142" s="49" t="s">
        <v>27</v>
      </c>
      <c r="F1142" s="50"/>
      <c r="G1142" s="50"/>
      <c r="H1142" s="87"/>
    </row>
    <row r="1143" spans="1:8" ht="17.2" customHeight="1" x14ac:dyDescent="0.3">
      <c r="A1143" s="88" t="s">
        <v>28</v>
      </c>
      <c r="B1143" s="50"/>
      <c r="E1143" s="50" t="str">
        <f ca="1">+$E$52</f>
        <v>SECRETARIO DE PLANEACION Y OBRAS PUBLICAS</v>
      </c>
      <c r="F1143" s="50"/>
      <c r="G1143" s="50"/>
      <c r="H1143" s="87"/>
    </row>
    <row r="1144" spans="1:8" ht="17.2" customHeight="1" x14ac:dyDescent="0.3">
      <c r="A1144" s="88"/>
      <c r="B1144" s="50"/>
      <c r="E1144" s="90" t="str">
        <f ca="1">+$E$53</f>
        <v>SAN MIGUEL - PUTUMAYO</v>
      </c>
      <c r="F1144" s="50"/>
      <c r="G1144" s="50"/>
      <c r="H1144" s="87"/>
    </row>
    <row r="1145" spans="1:8" ht="17.2" customHeight="1" x14ac:dyDescent="0.3">
      <c r="A1145" s="556"/>
      <c r="B1145" s="557"/>
      <c r="C1145" s="380" t="s">
        <v>2</v>
      </c>
      <c r="D1145" s="382" t="s">
        <v>3</v>
      </c>
      <c r="E1145" s="383"/>
      <c r="F1145" s="1">
        <v>103</v>
      </c>
      <c r="G1145" s="548"/>
      <c r="H1145" s="549"/>
    </row>
    <row r="1146" spans="1:8" ht="17.2" customHeight="1" x14ac:dyDescent="0.3">
      <c r="A1146" s="558"/>
      <c r="B1146" s="559"/>
      <c r="C1146" s="381"/>
      <c r="D1146" s="396" t="s">
        <v>4</v>
      </c>
      <c r="E1146" s="397"/>
      <c r="F1146" s="400">
        <v>51</v>
      </c>
      <c r="G1146" s="550"/>
      <c r="H1146" s="551"/>
    </row>
    <row r="1147" spans="1:8" ht="17.2" customHeight="1" x14ac:dyDescent="0.3">
      <c r="A1147" s="558"/>
      <c r="B1147" s="559"/>
      <c r="C1147" s="5" t="s">
        <v>5</v>
      </c>
      <c r="D1147" s="398"/>
      <c r="E1147" s="399"/>
      <c r="F1147" s="401"/>
      <c r="G1147" s="550"/>
      <c r="H1147" s="551"/>
    </row>
    <row r="1148" spans="1:8" ht="26.85" customHeight="1" x14ac:dyDescent="0.3">
      <c r="A1148" s="558"/>
      <c r="B1148" s="559"/>
      <c r="C1148" s="55" t="s">
        <v>6</v>
      </c>
      <c r="D1148" s="402" t="s">
        <v>7</v>
      </c>
      <c r="E1148" s="403"/>
      <c r="F1148" s="7">
        <v>1</v>
      </c>
      <c r="G1148" s="550"/>
      <c r="H1148" s="551"/>
    </row>
    <row r="1149" spans="1:8" ht="17.2" customHeight="1" x14ac:dyDescent="0.3">
      <c r="A1149" s="558"/>
      <c r="B1149" s="559"/>
      <c r="C1149" s="530" t="s">
        <v>8</v>
      </c>
      <c r="D1149" s="532" t="s">
        <v>9</v>
      </c>
      <c r="E1149" s="533"/>
      <c r="F1149" s="5" t="s">
        <v>10</v>
      </c>
      <c r="G1149" s="550"/>
      <c r="H1149" s="551"/>
    </row>
    <row r="1150" spans="1:8" ht="17.2" customHeight="1" x14ac:dyDescent="0.3">
      <c r="A1150" s="560"/>
      <c r="B1150" s="561"/>
      <c r="C1150" s="531"/>
      <c r="D1150" s="534"/>
      <c r="E1150" s="535"/>
      <c r="F1150" s="8">
        <f>$F$6</f>
        <v>45402</v>
      </c>
      <c r="G1150" s="552"/>
      <c r="H1150" s="553"/>
    </row>
    <row r="1151" spans="1:8" ht="17.2" customHeight="1" thickBot="1" x14ac:dyDescent="0.35">
      <c r="A1151" s="536"/>
      <c r="B1151" s="537"/>
      <c r="C1151" s="537"/>
      <c r="D1151" s="537"/>
      <c r="E1151" s="537"/>
      <c r="F1151" s="537"/>
      <c r="G1151" s="537"/>
      <c r="H1151" s="538"/>
    </row>
    <row r="1152" spans="1:8" ht="28.15" customHeight="1" thickBot="1" x14ac:dyDescent="0.35">
      <c r="A1152" s="92">
        <v>4.7</v>
      </c>
      <c r="B1152" s="539" t="str">
        <f>VLOOKUP(A1152,PRESUPUESTO!$A$14:$G$71,2,)</f>
        <v>Punto Sanitario 4"</v>
      </c>
      <c r="C1152" s="540"/>
      <c r="D1152" s="540"/>
      <c r="E1152" s="540"/>
      <c r="F1152" s="541"/>
      <c r="G1152" s="57" t="s">
        <v>31</v>
      </c>
      <c r="H1152" s="58" t="str">
        <f>VLOOKUP(A1152,PRESUPUESTO!$A$14:$G$71,4,)</f>
        <v>UND</v>
      </c>
    </row>
    <row r="1153" spans="1:15" ht="17.2" customHeight="1" x14ac:dyDescent="0.3">
      <c r="A1153" s="59"/>
      <c r="H1153" s="60"/>
    </row>
    <row r="1154" spans="1:15" ht="17.2" customHeight="1" x14ac:dyDescent="0.3">
      <c r="A1154" s="61" t="s">
        <v>32</v>
      </c>
      <c r="B1154" s="525" t="s">
        <v>33</v>
      </c>
      <c r="C1154" s="526"/>
      <c r="D1154" s="526"/>
      <c r="E1154" s="526"/>
      <c r="F1154" s="526"/>
      <c r="G1154" s="527"/>
      <c r="H1154" s="60"/>
    </row>
    <row r="1155" spans="1:15" ht="17.2" customHeight="1" x14ac:dyDescent="0.3">
      <c r="A1155" s="62"/>
      <c r="B1155" s="518" t="s">
        <v>34</v>
      </c>
      <c r="C1155" s="519"/>
      <c r="D1155" s="62" t="s">
        <v>35</v>
      </c>
      <c r="E1155" s="62" t="s">
        <v>69</v>
      </c>
      <c r="F1155" s="62" t="s">
        <v>70</v>
      </c>
      <c r="G1155" s="62" t="s">
        <v>38</v>
      </c>
      <c r="H1155" s="60"/>
    </row>
    <row r="1156" spans="1:15" ht="17.2" customHeight="1" x14ac:dyDescent="0.3">
      <c r="A1156" s="63"/>
      <c r="B1156" s="542" t="s">
        <v>39</v>
      </c>
      <c r="C1156" s="543"/>
      <c r="D1156" s="63"/>
      <c r="E1156" s="64"/>
      <c r="F1156" s="64">
        <v>0.1</v>
      </c>
      <c r="G1156" s="65">
        <f>ROUND(H1174*F1156,2)</f>
        <v>6300</v>
      </c>
      <c r="H1156" s="66"/>
    </row>
    <row r="1157" spans="1:15" ht="17.2" customHeight="1" x14ac:dyDescent="0.3">
      <c r="A1157" s="63"/>
      <c r="B1157" s="542"/>
      <c r="C1157" s="543"/>
      <c r="D1157" s="62"/>
      <c r="E1157" s="68"/>
      <c r="F1157" s="64"/>
      <c r="G1157" s="69"/>
      <c r="H1157" s="66"/>
      <c r="M1157" s="54" t="s">
        <v>255</v>
      </c>
      <c r="N1157" s="54">
        <f>0.8*0.8*0.04</f>
        <v>2.5600000000000005E-2</v>
      </c>
    </row>
    <row r="1158" spans="1:15" ht="17.2" customHeight="1" x14ac:dyDescent="0.3">
      <c r="A1158" s="70"/>
      <c r="E1158" s="71" t="s">
        <v>40</v>
      </c>
      <c r="F1158" s="71"/>
      <c r="G1158" s="71"/>
      <c r="H1158" s="72">
        <f>ROUND(SUM(G1156:G1157),2)</f>
        <v>6300</v>
      </c>
      <c r="M1158" s="54" t="s">
        <v>256</v>
      </c>
      <c r="N1158" s="54">
        <f>1*0.8*4</f>
        <v>3.2</v>
      </c>
      <c r="O1158" s="54">
        <f>N1158*0.03</f>
        <v>9.6000000000000002E-2</v>
      </c>
    </row>
    <row r="1159" spans="1:15" ht="17.2" customHeight="1" x14ac:dyDescent="0.3">
      <c r="A1159" s="61" t="s">
        <v>41</v>
      </c>
      <c r="B1159" s="525" t="s">
        <v>42</v>
      </c>
      <c r="C1159" s="526"/>
      <c r="D1159" s="526"/>
      <c r="E1159" s="526"/>
      <c r="F1159" s="526"/>
      <c r="G1159" s="527"/>
      <c r="H1159" s="73"/>
      <c r="M1159" s="54" t="s">
        <v>257</v>
      </c>
      <c r="N1159" s="54">
        <f>0.8*0.8*0.1</f>
        <v>6.4000000000000015E-2</v>
      </c>
    </row>
    <row r="1160" spans="1:15" ht="17.2" customHeight="1" x14ac:dyDescent="0.3">
      <c r="A1160" s="62"/>
      <c r="B1160" s="518" t="s">
        <v>34</v>
      </c>
      <c r="C1160" s="519"/>
      <c r="D1160" s="62" t="s">
        <v>43</v>
      </c>
      <c r="E1160" s="74" t="s">
        <v>44</v>
      </c>
      <c r="F1160" s="74" t="s">
        <v>45</v>
      </c>
      <c r="G1160" s="74" t="s">
        <v>38</v>
      </c>
      <c r="H1160" s="73"/>
      <c r="M1160" s="54" t="s">
        <v>258</v>
      </c>
      <c r="N1160" s="54">
        <f>3.2*0.02</f>
        <v>6.4000000000000001E-2</v>
      </c>
    </row>
    <row r="1161" spans="1:15" ht="19.149999999999999" customHeight="1" x14ac:dyDescent="0.3">
      <c r="A1161" s="63"/>
      <c r="B1161" s="554" t="s">
        <v>287</v>
      </c>
      <c r="C1161" s="555"/>
      <c r="D1161" s="93" t="s">
        <v>233</v>
      </c>
      <c r="E1161" s="94">
        <v>3</v>
      </c>
      <c r="F1161" s="272">
        <v>20000</v>
      </c>
      <c r="G1161" s="120">
        <f>ROUND(E1161*F1161,2)</f>
        <v>60000</v>
      </c>
      <c r="H1161" s="73"/>
      <c r="M1161" s="54" t="s">
        <v>259</v>
      </c>
      <c r="N1161" s="54">
        <f>N1160+N1159+O1158+N1157</f>
        <v>0.24960000000000002</v>
      </c>
    </row>
    <row r="1162" spans="1:15" ht="17.2" customHeight="1" x14ac:dyDescent="0.3">
      <c r="A1162" s="63"/>
      <c r="B1162" s="523" t="s">
        <v>288</v>
      </c>
      <c r="C1162" s="524"/>
      <c r="D1162" s="93" t="s">
        <v>212</v>
      </c>
      <c r="E1162" s="94">
        <v>0.5</v>
      </c>
      <c r="F1162" s="272">
        <v>18000</v>
      </c>
      <c r="G1162" s="67">
        <f t="shared" ref="G1162:G1165" si="12">ROUND(E1162*F1162,2)</f>
        <v>9000</v>
      </c>
      <c r="H1162" s="73"/>
    </row>
    <row r="1163" spans="1:15" ht="17.2" customHeight="1" x14ac:dyDescent="0.3">
      <c r="A1163" s="63" t="s">
        <v>46</v>
      </c>
      <c r="B1163" s="523" t="s">
        <v>289</v>
      </c>
      <c r="C1163" s="524"/>
      <c r="D1163" s="93" t="s">
        <v>212</v>
      </c>
      <c r="E1163" s="94">
        <v>1</v>
      </c>
      <c r="F1163" s="95">
        <v>12000</v>
      </c>
      <c r="G1163" s="67">
        <f t="shared" si="12"/>
        <v>12000</v>
      </c>
      <c r="H1163" s="73"/>
    </row>
    <row r="1164" spans="1:15" ht="17.2" customHeight="1" x14ac:dyDescent="0.3">
      <c r="A1164" s="63"/>
      <c r="B1164" s="546" t="s">
        <v>209</v>
      </c>
      <c r="C1164" s="547"/>
      <c r="D1164" s="270" t="s">
        <v>208</v>
      </c>
      <c r="E1164" s="270">
        <v>0.01</v>
      </c>
      <c r="F1164" s="95">
        <v>150000</v>
      </c>
      <c r="G1164" s="67">
        <f t="shared" si="12"/>
        <v>1500</v>
      </c>
      <c r="H1164" s="73"/>
    </row>
    <row r="1165" spans="1:15" ht="17.2" customHeight="1" x14ac:dyDescent="0.3">
      <c r="A1165" s="63"/>
      <c r="B1165" s="546" t="s">
        <v>210</v>
      </c>
      <c r="C1165" s="547"/>
      <c r="D1165" s="270" t="s">
        <v>208</v>
      </c>
      <c r="E1165" s="270">
        <v>0.01</v>
      </c>
      <c r="F1165" s="95">
        <v>110000</v>
      </c>
      <c r="G1165" s="67">
        <f t="shared" si="12"/>
        <v>1100</v>
      </c>
      <c r="H1165" s="73"/>
    </row>
    <row r="1166" spans="1:15" ht="17.2" customHeight="1" x14ac:dyDescent="0.3">
      <c r="A1166" s="63"/>
      <c r="B1166" s="523"/>
      <c r="C1166" s="524"/>
      <c r="D1166" s="93"/>
      <c r="E1166" s="94"/>
      <c r="F1166" s="95"/>
      <c r="G1166" s="67"/>
      <c r="H1166" s="73"/>
    </row>
    <row r="1167" spans="1:15" ht="17.2" customHeight="1" x14ac:dyDescent="0.3">
      <c r="A1167" s="63"/>
      <c r="B1167" s="523"/>
      <c r="C1167" s="524"/>
      <c r="D1167" s="93"/>
      <c r="E1167" s="94"/>
      <c r="F1167" s="95"/>
      <c r="G1167" s="67"/>
      <c r="H1167" s="73"/>
    </row>
    <row r="1168" spans="1:15" ht="17.2" customHeight="1" x14ac:dyDescent="0.3">
      <c r="A1168" s="70" t="s">
        <v>46</v>
      </c>
      <c r="E1168" s="71" t="s">
        <v>47</v>
      </c>
      <c r="F1168" s="71"/>
      <c r="G1168" s="71"/>
      <c r="H1168" s="76">
        <f>ROUND(SUM(G1161:G1167),2)</f>
        <v>83600</v>
      </c>
    </row>
    <row r="1169" spans="1:8" ht="17.2" customHeight="1" x14ac:dyDescent="0.3">
      <c r="A1169" s="61" t="s">
        <v>48</v>
      </c>
      <c r="B1169" s="525" t="s">
        <v>49</v>
      </c>
      <c r="C1169" s="526"/>
      <c r="D1169" s="526"/>
      <c r="E1169" s="526"/>
      <c r="F1169" s="526"/>
      <c r="G1169" s="527"/>
      <c r="H1169" s="73"/>
    </row>
    <row r="1170" spans="1:8" ht="17.2" customHeight="1" x14ac:dyDescent="0.3">
      <c r="A1170" s="62" t="s">
        <v>50</v>
      </c>
      <c r="B1170" s="62" t="s">
        <v>34</v>
      </c>
      <c r="C1170" s="62" t="s">
        <v>51</v>
      </c>
      <c r="D1170" s="62" t="s">
        <v>52</v>
      </c>
      <c r="E1170" s="74" t="s">
        <v>53</v>
      </c>
      <c r="F1170" s="64" t="s">
        <v>260</v>
      </c>
      <c r="G1170" s="64" t="s">
        <v>38</v>
      </c>
      <c r="H1170" s="73"/>
    </row>
    <row r="1171" spans="1:8" ht="17.2" customHeight="1" x14ac:dyDescent="0.3">
      <c r="A1171" s="62">
        <v>1</v>
      </c>
      <c r="B1171" s="63" t="s">
        <v>79</v>
      </c>
      <c r="C1171" s="77">
        <v>120000</v>
      </c>
      <c r="D1171" s="78">
        <v>0.75</v>
      </c>
      <c r="E1171" s="79">
        <f>+(A1171*C1171)+(A1171*C1171*D1171)</f>
        <v>210000</v>
      </c>
      <c r="F1171" s="75">
        <v>15</v>
      </c>
      <c r="G1171" s="65">
        <f>ROUND(E1171/(F1171),2)</f>
        <v>14000</v>
      </c>
      <c r="H1171" s="73"/>
    </row>
    <row r="1172" spans="1:8" ht="17.2" customHeight="1" x14ac:dyDescent="0.3">
      <c r="A1172" s="62">
        <v>2</v>
      </c>
      <c r="B1172" s="63" t="s">
        <v>80</v>
      </c>
      <c r="C1172" s="77">
        <v>70000</v>
      </c>
      <c r="D1172" s="78">
        <v>0.75</v>
      </c>
      <c r="E1172" s="79">
        <f>+(A1172*C1172)+(A1172*C1172*D1172)</f>
        <v>245000</v>
      </c>
      <c r="F1172" s="75">
        <v>5</v>
      </c>
      <c r="G1172" s="65">
        <f>ROUND(E1172/(F1172),2)</f>
        <v>49000</v>
      </c>
      <c r="H1172" s="73"/>
    </row>
    <row r="1173" spans="1:8" ht="17.2" customHeight="1" x14ac:dyDescent="0.3">
      <c r="A1173" s="63"/>
      <c r="B1173" s="63"/>
      <c r="C1173" s="63"/>
      <c r="D1173" s="63"/>
      <c r="E1173" s="64"/>
      <c r="F1173" s="64"/>
      <c r="G1173" s="64"/>
      <c r="H1173" s="73"/>
    </row>
    <row r="1174" spans="1:8" ht="17.2" customHeight="1" x14ac:dyDescent="0.3">
      <c r="A1174" s="70"/>
      <c r="E1174" s="71" t="s">
        <v>54</v>
      </c>
      <c r="F1174" s="71"/>
      <c r="G1174" s="71"/>
      <c r="H1174" s="72">
        <f>ROUND(SUM(G1171)+(G1172),2)</f>
        <v>63000</v>
      </c>
    </row>
    <row r="1175" spans="1:8" ht="17.2" customHeight="1" x14ac:dyDescent="0.3">
      <c r="A1175" s="61" t="s">
        <v>55</v>
      </c>
      <c r="B1175" s="525" t="s">
        <v>56</v>
      </c>
      <c r="C1175" s="526"/>
      <c r="D1175" s="526"/>
      <c r="E1175" s="526"/>
      <c r="F1175" s="526"/>
      <c r="G1175" s="527"/>
      <c r="H1175" s="73"/>
    </row>
    <row r="1176" spans="1:8" ht="17.2" customHeight="1" x14ac:dyDescent="0.3">
      <c r="A1176" s="63"/>
      <c r="B1176" s="63" t="s">
        <v>34</v>
      </c>
      <c r="C1176" s="62" t="s">
        <v>43</v>
      </c>
      <c r="D1176" s="62" t="s">
        <v>57</v>
      </c>
      <c r="E1176" s="62" t="s">
        <v>58</v>
      </c>
      <c r="F1176" s="62"/>
      <c r="G1176" s="64" t="s">
        <v>59</v>
      </c>
      <c r="H1176" s="73"/>
    </row>
    <row r="1177" spans="1:8" ht="17.2" customHeight="1" x14ac:dyDescent="0.3">
      <c r="A1177" s="63"/>
      <c r="B1177" s="63" t="s">
        <v>82</v>
      </c>
      <c r="C1177" s="80" t="s">
        <v>83</v>
      </c>
      <c r="D1177" s="63">
        <v>5.0000000000000001E-3</v>
      </c>
      <c r="E1177" s="64">
        <f>3000000/15</f>
        <v>200000</v>
      </c>
      <c r="F1177" s="64"/>
      <c r="G1177" s="64">
        <f>D1177*E1177</f>
        <v>1000</v>
      </c>
      <c r="H1177" s="73"/>
    </row>
    <row r="1178" spans="1:8" ht="17.2" customHeight="1" x14ac:dyDescent="0.3">
      <c r="A1178" s="63"/>
      <c r="B1178" s="63"/>
      <c r="C1178" s="81"/>
      <c r="D1178" s="63"/>
      <c r="E1178" s="64"/>
      <c r="F1178" s="64"/>
      <c r="G1178" s="64"/>
      <c r="H1178" s="73"/>
    </row>
    <row r="1179" spans="1:8" ht="17.2" customHeight="1" x14ac:dyDescent="0.3">
      <c r="A1179" s="63"/>
      <c r="B1179" s="63"/>
      <c r="C1179" s="63"/>
      <c r="D1179" s="63"/>
      <c r="E1179" s="64"/>
      <c r="F1179" s="64"/>
      <c r="G1179" s="64"/>
      <c r="H1179" s="73"/>
    </row>
    <row r="1180" spans="1:8" ht="17.2" customHeight="1" x14ac:dyDescent="0.3">
      <c r="A1180" s="70"/>
      <c r="E1180" s="71" t="s">
        <v>54</v>
      </c>
      <c r="F1180" s="71"/>
      <c r="G1180" s="71"/>
      <c r="H1180" s="119">
        <f>ROUND(SUM(G1177)+(G1178),0)</f>
        <v>1000</v>
      </c>
    </row>
    <row r="1181" spans="1:8" ht="17.2" customHeight="1" x14ac:dyDescent="0.3">
      <c r="A1181" s="59"/>
      <c r="E1181" s="71"/>
      <c r="F1181" s="71"/>
      <c r="G1181" s="71"/>
      <c r="H1181" s="73"/>
    </row>
    <row r="1182" spans="1:8" ht="17.2" customHeight="1" x14ac:dyDescent="0.3">
      <c r="A1182" s="59"/>
      <c r="D1182" s="82" t="s">
        <v>60</v>
      </c>
      <c r="E1182" s="83"/>
      <c r="F1182" s="83"/>
      <c r="G1182" s="83"/>
      <c r="H1182" s="72">
        <f>ROUND(SUM(H1158:H1181),2)</f>
        <v>153900</v>
      </c>
    </row>
    <row r="1183" spans="1:8" ht="17.2" customHeight="1" x14ac:dyDescent="0.3">
      <c r="A1183" s="59"/>
      <c r="E1183" s="71"/>
      <c r="F1183" s="71"/>
      <c r="G1183" s="71"/>
      <c r="H1183" s="73"/>
    </row>
    <row r="1184" spans="1:8" ht="17.2" customHeight="1" x14ac:dyDescent="0.3">
      <c r="A1184" s="61" t="s">
        <v>61</v>
      </c>
      <c r="B1184" s="525" t="s">
        <v>62</v>
      </c>
      <c r="C1184" s="526"/>
      <c r="D1184" s="526"/>
      <c r="E1184" s="526"/>
      <c r="F1184" s="526"/>
      <c r="G1184" s="527"/>
      <c r="H1184" s="73"/>
    </row>
    <row r="1185" spans="1:8" ht="17.2" customHeight="1" x14ac:dyDescent="0.3">
      <c r="A1185" s="62"/>
      <c r="B1185" s="518" t="s">
        <v>34</v>
      </c>
      <c r="C1185" s="519"/>
      <c r="D1185" s="518" t="s">
        <v>63</v>
      </c>
      <c r="E1185" s="519"/>
      <c r="F1185" s="528" t="s">
        <v>64</v>
      </c>
      <c r="G1185" s="529"/>
      <c r="H1185" s="73"/>
    </row>
    <row r="1186" spans="1:8" ht="17.2" customHeight="1" x14ac:dyDescent="0.3">
      <c r="A1186" s="63"/>
      <c r="B1186" s="518" t="s">
        <v>20</v>
      </c>
      <c r="C1186" s="519"/>
      <c r="D1186" s="520">
        <v>0.28000000000000003</v>
      </c>
      <c r="E1186" s="519"/>
      <c r="F1186" s="521">
        <f>+H1182*D1186</f>
        <v>43092.000000000007</v>
      </c>
      <c r="G1186" s="522"/>
      <c r="H1186" s="73"/>
    </row>
    <row r="1187" spans="1:8" ht="17.2" customHeight="1" x14ac:dyDescent="0.3">
      <c r="A1187" s="63"/>
      <c r="B1187" s="518" t="s">
        <v>21</v>
      </c>
      <c r="C1187" s="519"/>
      <c r="D1187" s="520">
        <v>0.01</v>
      </c>
      <c r="E1187" s="519"/>
      <c r="F1187" s="521">
        <f>+H1182*D1187</f>
        <v>1539</v>
      </c>
      <c r="G1187" s="522"/>
      <c r="H1187" s="73"/>
    </row>
    <row r="1188" spans="1:8" ht="17.2" customHeight="1" x14ac:dyDescent="0.3">
      <c r="A1188" s="63"/>
      <c r="B1188" s="518" t="s">
        <v>22</v>
      </c>
      <c r="C1188" s="519"/>
      <c r="D1188" s="520">
        <v>0.03</v>
      </c>
      <c r="E1188" s="519"/>
      <c r="F1188" s="521">
        <f>+H1182*D1188</f>
        <v>4617</v>
      </c>
      <c r="G1188" s="522"/>
      <c r="H1188" s="73"/>
    </row>
    <row r="1189" spans="1:8" ht="17.2" customHeight="1" x14ac:dyDescent="0.3">
      <c r="A1189" s="63"/>
      <c r="B1189" s="518" t="s">
        <v>188</v>
      </c>
      <c r="C1189" s="519"/>
      <c r="D1189" s="520">
        <v>0.19</v>
      </c>
      <c r="E1189" s="519"/>
      <c r="F1189" s="521">
        <f>D1189*F1188</f>
        <v>877.23</v>
      </c>
      <c r="G1189" s="522"/>
      <c r="H1189" s="73"/>
    </row>
    <row r="1190" spans="1:8" ht="17.2" customHeight="1" x14ac:dyDescent="0.3">
      <c r="A1190" s="59"/>
      <c r="D1190" s="82" t="s">
        <v>65</v>
      </c>
      <c r="E1190" s="83"/>
      <c r="F1190" s="83"/>
      <c r="G1190" s="83"/>
      <c r="H1190" s="72">
        <f>SUM(F1186:G1189)</f>
        <v>50125.23000000001</v>
      </c>
    </row>
    <row r="1191" spans="1:8" ht="17.2" customHeight="1" x14ac:dyDescent="0.3">
      <c r="A1191" s="59"/>
      <c r="E1191" s="71"/>
      <c r="F1191" s="71"/>
      <c r="G1191" s="71"/>
      <c r="H1191" s="73"/>
    </row>
    <row r="1192" spans="1:8" ht="17.2" customHeight="1" x14ac:dyDescent="0.3">
      <c r="A1192" s="59"/>
      <c r="D1192" s="82" t="s">
        <v>66</v>
      </c>
      <c r="E1192" s="83"/>
      <c r="F1192" s="83"/>
      <c r="G1192" s="71"/>
      <c r="H1192" s="72">
        <f>H1182+H1190</f>
        <v>204025.23</v>
      </c>
    </row>
    <row r="1193" spans="1:8" ht="17.2" customHeight="1" x14ac:dyDescent="0.3">
      <c r="A1193" s="59"/>
      <c r="D1193" s="82"/>
      <c r="E1193" s="83"/>
      <c r="F1193" s="83"/>
      <c r="G1193" s="71"/>
      <c r="H1193" s="73"/>
    </row>
    <row r="1194" spans="1:8" ht="17.2" customHeight="1" x14ac:dyDescent="0.3">
      <c r="A1194" s="59"/>
      <c r="E1194" s="83"/>
      <c r="F1194" s="83"/>
      <c r="G1194" s="71"/>
      <c r="H1194" s="73"/>
    </row>
    <row r="1195" spans="1:8" ht="17.2" customHeight="1" x14ac:dyDescent="0.3">
      <c r="A1195" s="84"/>
      <c r="B1195" s="85"/>
      <c r="E1195" s="46"/>
      <c r="F1195" s="47"/>
      <c r="G1195" s="48"/>
      <c r="H1195" s="73"/>
    </row>
    <row r="1196" spans="1:8" ht="17.2" customHeight="1" x14ac:dyDescent="0.3">
      <c r="A1196" s="86" t="s">
        <v>67</v>
      </c>
      <c r="B1196" s="50" t="s">
        <v>68</v>
      </c>
      <c r="E1196" s="49" t="s">
        <v>27</v>
      </c>
      <c r="F1196" s="50"/>
      <c r="G1196" s="50"/>
      <c r="H1196" s="87"/>
    </row>
    <row r="1197" spans="1:8" ht="17.2" customHeight="1" x14ac:dyDescent="0.3">
      <c r="A1197" s="88" t="s">
        <v>28</v>
      </c>
      <c r="B1197" s="50"/>
      <c r="E1197" s="50" t="str">
        <f ca="1">+$E$52</f>
        <v>SECRETARIO DE PLANEACION Y OBRAS PUBLICAS</v>
      </c>
      <c r="F1197" s="50"/>
      <c r="G1197" s="50"/>
      <c r="H1197" s="87"/>
    </row>
    <row r="1198" spans="1:8" ht="17.2" customHeight="1" x14ac:dyDescent="0.3">
      <c r="A1198" s="88"/>
      <c r="B1198" s="50"/>
      <c r="E1198" s="50" t="str">
        <f ca="1">+$E$53</f>
        <v>SAN MIGUEL - PUTUMAYO</v>
      </c>
      <c r="F1198" s="50"/>
      <c r="G1198" s="50"/>
      <c r="H1198" s="87"/>
    </row>
    <row r="1199" spans="1:8" ht="17.2" customHeight="1" x14ac:dyDescent="0.3">
      <c r="A1199" s="88"/>
      <c r="B1199" s="50"/>
      <c r="E1199" s="90"/>
      <c r="F1199" s="50"/>
      <c r="G1199" s="50"/>
      <c r="H1199" s="87"/>
    </row>
    <row r="1200" spans="1:8" ht="17.2" customHeight="1" x14ac:dyDescent="0.3">
      <c r="A1200" s="556"/>
      <c r="B1200" s="557"/>
      <c r="C1200" s="380" t="s">
        <v>2</v>
      </c>
      <c r="D1200" s="382" t="s">
        <v>3</v>
      </c>
      <c r="E1200" s="383"/>
      <c r="F1200" s="1">
        <v>103</v>
      </c>
      <c r="G1200" s="548"/>
      <c r="H1200" s="549"/>
    </row>
    <row r="1201" spans="1:8" ht="17.2" customHeight="1" x14ac:dyDescent="0.3">
      <c r="A1201" s="558"/>
      <c r="B1201" s="559"/>
      <c r="C1201" s="381"/>
      <c r="D1201" s="396" t="s">
        <v>4</v>
      </c>
      <c r="E1201" s="397"/>
      <c r="F1201" s="400">
        <v>51</v>
      </c>
      <c r="G1201" s="550"/>
      <c r="H1201" s="551"/>
    </row>
    <row r="1202" spans="1:8" ht="17.2" customHeight="1" x14ac:dyDescent="0.3">
      <c r="A1202" s="558"/>
      <c r="B1202" s="559"/>
      <c r="C1202" s="5" t="s">
        <v>5</v>
      </c>
      <c r="D1202" s="398"/>
      <c r="E1202" s="399"/>
      <c r="F1202" s="401"/>
      <c r="G1202" s="550"/>
      <c r="H1202" s="551"/>
    </row>
    <row r="1203" spans="1:8" ht="26.85" customHeight="1" x14ac:dyDescent="0.3">
      <c r="A1203" s="558"/>
      <c r="B1203" s="559"/>
      <c r="C1203" s="55" t="s">
        <v>6</v>
      </c>
      <c r="D1203" s="402" t="s">
        <v>7</v>
      </c>
      <c r="E1203" s="403"/>
      <c r="F1203" s="7">
        <v>1</v>
      </c>
      <c r="G1203" s="550"/>
      <c r="H1203" s="551"/>
    </row>
    <row r="1204" spans="1:8" ht="17.2" customHeight="1" x14ac:dyDescent="0.3">
      <c r="A1204" s="558"/>
      <c r="B1204" s="559"/>
      <c r="C1204" s="530" t="s">
        <v>8</v>
      </c>
      <c r="D1204" s="532" t="s">
        <v>9</v>
      </c>
      <c r="E1204" s="533"/>
      <c r="F1204" s="5" t="s">
        <v>10</v>
      </c>
      <c r="G1204" s="550"/>
      <c r="H1204" s="551"/>
    </row>
    <row r="1205" spans="1:8" ht="17.2" customHeight="1" x14ac:dyDescent="0.3">
      <c r="A1205" s="560"/>
      <c r="B1205" s="561"/>
      <c r="C1205" s="531"/>
      <c r="D1205" s="534"/>
      <c r="E1205" s="535"/>
      <c r="F1205" s="8">
        <f>$F$6</f>
        <v>45402</v>
      </c>
      <c r="G1205" s="552"/>
      <c r="H1205" s="553"/>
    </row>
    <row r="1206" spans="1:8" ht="17.2" customHeight="1" thickBot="1" x14ac:dyDescent="0.35">
      <c r="A1206" s="536"/>
      <c r="B1206" s="537"/>
      <c r="C1206" s="537"/>
      <c r="D1206" s="537"/>
      <c r="E1206" s="537"/>
      <c r="F1206" s="537"/>
      <c r="G1206" s="537"/>
      <c r="H1206" s="538"/>
    </row>
    <row r="1207" spans="1:8" ht="28.15" customHeight="1" thickBot="1" x14ac:dyDescent="0.35">
      <c r="A1207" s="92">
        <v>4.8</v>
      </c>
      <c r="B1207" s="539" t="str">
        <f>VLOOKUP(A1207,PRESUPUESTO!$A$14:$G$71,2,)</f>
        <v>Suministro e instalación de ducha tipo telefónica cromada, incluye regadera, brazo, chapeta, accesorios de fijación, conexiones</v>
      </c>
      <c r="C1207" s="540"/>
      <c r="D1207" s="540"/>
      <c r="E1207" s="540"/>
      <c r="F1207" s="541"/>
      <c r="G1207" s="57" t="s">
        <v>31</v>
      </c>
      <c r="H1207" s="58" t="str">
        <f>VLOOKUP(A1207,PRESUPUESTO!$A$14:$G$71,4,)</f>
        <v>UND</v>
      </c>
    </row>
    <row r="1208" spans="1:8" ht="17.2" customHeight="1" x14ac:dyDescent="0.3">
      <c r="A1208" s="59"/>
      <c r="H1208" s="60"/>
    </row>
    <row r="1209" spans="1:8" ht="17.2" customHeight="1" x14ac:dyDescent="0.3">
      <c r="A1209" s="61" t="s">
        <v>32</v>
      </c>
      <c r="B1209" s="525" t="s">
        <v>33</v>
      </c>
      <c r="C1209" s="526"/>
      <c r="D1209" s="526"/>
      <c r="E1209" s="526"/>
      <c r="F1209" s="526"/>
      <c r="G1209" s="527"/>
      <c r="H1209" s="60"/>
    </row>
    <row r="1210" spans="1:8" ht="17.2" customHeight="1" x14ac:dyDescent="0.3">
      <c r="A1210" s="62"/>
      <c r="B1210" s="518" t="s">
        <v>34</v>
      </c>
      <c r="C1210" s="519"/>
      <c r="D1210" s="62" t="s">
        <v>35</v>
      </c>
      <c r="E1210" s="62" t="s">
        <v>69</v>
      </c>
      <c r="F1210" s="62" t="s">
        <v>70</v>
      </c>
      <c r="G1210" s="62" t="s">
        <v>38</v>
      </c>
      <c r="H1210" s="60"/>
    </row>
    <row r="1211" spans="1:8" ht="17.2" customHeight="1" x14ac:dyDescent="0.3">
      <c r="A1211" s="63"/>
      <c r="B1211" s="542" t="s">
        <v>39</v>
      </c>
      <c r="C1211" s="543"/>
      <c r="D1211" s="63"/>
      <c r="E1211" s="64"/>
      <c r="F1211" s="64">
        <v>0.1</v>
      </c>
      <c r="G1211" s="65">
        <f>ROUND(H1229*F1211,2)</f>
        <v>3325</v>
      </c>
      <c r="H1211" s="66"/>
    </row>
    <row r="1212" spans="1:8" ht="17.2" customHeight="1" x14ac:dyDescent="0.3">
      <c r="A1212" s="63"/>
      <c r="B1212" s="542"/>
      <c r="C1212" s="543"/>
      <c r="D1212" s="62"/>
      <c r="E1212" s="68"/>
      <c r="F1212" s="64"/>
      <c r="G1212" s="69"/>
      <c r="H1212" s="66"/>
    </row>
    <row r="1213" spans="1:8" ht="17.2" customHeight="1" x14ac:dyDescent="0.3">
      <c r="A1213" s="70"/>
      <c r="E1213" s="71" t="s">
        <v>40</v>
      </c>
      <c r="F1213" s="71"/>
      <c r="G1213" s="71"/>
      <c r="H1213" s="72">
        <f>ROUND(SUM(G1211:G1212),2)</f>
        <v>3325</v>
      </c>
    </row>
    <row r="1214" spans="1:8" ht="17.2" customHeight="1" x14ac:dyDescent="0.3">
      <c r="A1214" s="61" t="s">
        <v>41</v>
      </c>
      <c r="B1214" s="525" t="s">
        <v>42</v>
      </c>
      <c r="C1214" s="526"/>
      <c r="D1214" s="526"/>
      <c r="E1214" s="526"/>
      <c r="F1214" s="526"/>
      <c r="G1214" s="527"/>
      <c r="H1214" s="73"/>
    </row>
    <row r="1215" spans="1:8" ht="17.2" customHeight="1" x14ac:dyDescent="0.3">
      <c r="A1215" s="62"/>
      <c r="B1215" s="518" t="s">
        <v>34</v>
      </c>
      <c r="C1215" s="519"/>
      <c r="D1215" s="62" t="s">
        <v>43</v>
      </c>
      <c r="E1215" s="74" t="s">
        <v>44</v>
      </c>
      <c r="F1215" s="74" t="s">
        <v>45</v>
      </c>
      <c r="G1215" s="74" t="s">
        <v>38</v>
      </c>
      <c r="H1215" s="73"/>
    </row>
    <row r="1216" spans="1:8" ht="19.149999999999999" customHeight="1" x14ac:dyDescent="0.3">
      <c r="A1216" s="63"/>
      <c r="B1216" s="554" t="s">
        <v>428</v>
      </c>
      <c r="C1216" s="555"/>
      <c r="D1216" s="93" t="s">
        <v>212</v>
      </c>
      <c r="E1216" s="94">
        <v>1</v>
      </c>
      <c r="F1216" s="272">
        <f>165000</f>
        <v>165000</v>
      </c>
      <c r="G1216" s="120">
        <f>ROUND(E1216*F1216,2)</f>
        <v>165000</v>
      </c>
      <c r="H1216" s="73"/>
    </row>
    <row r="1217" spans="1:8" ht="17.2" customHeight="1" x14ac:dyDescent="0.3">
      <c r="A1217" s="63"/>
      <c r="B1217" s="523" t="s">
        <v>429</v>
      </c>
      <c r="C1217" s="524"/>
      <c r="D1217" s="93" t="s">
        <v>212</v>
      </c>
      <c r="E1217" s="94">
        <v>1</v>
      </c>
      <c r="F1217" s="272">
        <v>28000</v>
      </c>
      <c r="G1217" s="67">
        <f t="shared" ref="G1217:G1219" si="13">ROUND(E1217*F1217,2)</f>
        <v>28000</v>
      </c>
      <c r="H1217" s="73"/>
    </row>
    <row r="1218" spans="1:8" ht="17.2" customHeight="1" x14ac:dyDescent="0.3">
      <c r="A1218" s="63" t="s">
        <v>46</v>
      </c>
      <c r="B1218" s="523" t="s">
        <v>430</v>
      </c>
      <c r="C1218" s="524"/>
      <c r="D1218" s="93" t="s">
        <v>212</v>
      </c>
      <c r="E1218" s="94">
        <v>1</v>
      </c>
      <c r="F1218" s="95">
        <v>8000</v>
      </c>
      <c r="G1218" s="67">
        <f t="shared" si="13"/>
        <v>8000</v>
      </c>
      <c r="H1218" s="73"/>
    </row>
    <row r="1219" spans="1:8" ht="17.2" customHeight="1" x14ac:dyDescent="0.3">
      <c r="A1219" s="63"/>
      <c r="B1219" s="546" t="s">
        <v>431</v>
      </c>
      <c r="C1219" s="547"/>
      <c r="D1219" s="93" t="s">
        <v>212</v>
      </c>
      <c r="E1219" s="94">
        <v>0.1</v>
      </c>
      <c r="F1219" s="95">
        <v>5000</v>
      </c>
      <c r="G1219" s="67">
        <f t="shared" si="13"/>
        <v>500</v>
      </c>
      <c r="H1219" s="73"/>
    </row>
    <row r="1220" spans="1:8" ht="17.2" customHeight="1" x14ac:dyDescent="0.3">
      <c r="A1220" s="63"/>
      <c r="B1220" s="546" t="s">
        <v>432</v>
      </c>
      <c r="C1220" s="547"/>
      <c r="D1220" s="93" t="s">
        <v>212</v>
      </c>
      <c r="E1220" s="94">
        <v>0.05</v>
      </c>
      <c r="F1220" s="95">
        <v>30000</v>
      </c>
      <c r="G1220" s="120">
        <f>ROUND(E1220*F1220,2)</f>
        <v>1500</v>
      </c>
      <c r="H1220" s="73"/>
    </row>
    <row r="1221" spans="1:8" ht="17.2" customHeight="1" x14ac:dyDescent="0.3">
      <c r="A1221" s="63"/>
      <c r="B1221" s="523"/>
      <c r="C1221" s="524"/>
      <c r="D1221" s="93"/>
      <c r="E1221" s="94"/>
      <c r="F1221" s="95"/>
      <c r="G1221" s="67"/>
      <c r="H1221" s="73"/>
    </row>
    <row r="1222" spans="1:8" ht="17.2" customHeight="1" x14ac:dyDescent="0.3">
      <c r="A1222" s="63"/>
      <c r="B1222" s="523"/>
      <c r="C1222" s="524"/>
      <c r="D1222" s="93"/>
      <c r="E1222" s="94"/>
      <c r="F1222" s="95"/>
      <c r="G1222" s="67"/>
      <c r="H1222" s="73"/>
    </row>
    <row r="1223" spans="1:8" ht="17.2" customHeight="1" x14ac:dyDescent="0.3">
      <c r="A1223" s="70" t="s">
        <v>46</v>
      </c>
      <c r="E1223" s="71" t="s">
        <v>47</v>
      </c>
      <c r="F1223" s="71"/>
      <c r="G1223" s="71"/>
      <c r="H1223" s="76">
        <f>ROUND(SUM(G1216:G1222),2)</f>
        <v>203000</v>
      </c>
    </row>
    <row r="1224" spans="1:8" ht="17.2" customHeight="1" x14ac:dyDescent="0.3">
      <c r="A1224" s="61" t="s">
        <v>48</v>
      </c>
      <c r="B1224" s="525" t="s">
        <v>49</v>
      </c>
      <c r="C1224" s="526"/>
      <c r="D1224" s="526"/>
      <c r="E1224" s="526"/>
      <c r="F1224" s="526"/>
      <c r="G1224" s="527"/>
      <c r="H1224" s="73"/>
    </row>
    <row r="1225" spans="1:8" ht="17.2" customHeight="1" x14ac:dyDescent="0.3">
      <c r="A1225" s="62" t="s">
        <v>50</v>
      </c>
      <c r="B1225" s="62" t="s">
        <v>34</v>
      </c>
      <c r="C1225" s="62" t="s">
        <v>51</v>
      </c>
      <c r="D1225" s="62" t="s">
        <v>52</v>
      </c>
      <c r="E1225" s="74" t="s">
        <v>53</v>
      </c>
      <c r="F1225" s="64" t="s">
        <v>260</v>
      </c>
      <c r="G1225" s="64" t="s">
        <v>38</v>
      </c>
      <c r="H1225" s="73"/>
    </row>
    <row r="1226" spans="1:8" ht="17.2" customHeight="1" x14ac:dyDescent="0.3">
      <c r="A1226" s="62">
        <v>1</v>
      </c>
      <c r="B1226" s="63" t="s">
        <v>79</v>
      </c>
      <c r="C1226" s="77">
        <v>120000</v>
      </c>
      <c r="D1226" s="78">
        <v>0.75</v>
      </c>
      <c r="E1226" s="79">
        <f>+(A1226*C1226)+(A1226*C1226*D1226)</f>
        <v>210000</v>
      </c>
      <c r="F1226" s="75">
        <v>10</v>
      </c>
      <c r="G1226" s="65">
        <f>ROUND(E1226/(F1226),2)</f>
        <v>21000</v>
      </c>
      <c r="H1226" s="73"/>
    </row>
    <row r="1227" spans="1:8" ht="17.2" customHeight="1" x14ac:dyDescent="0.3">
      <c r="A1227" s="62">
        <v>1</v>
      </c>
      <c r="B1227" s="63" t="s">
        <v>80</v>
      </c>
      <c r="C1227" s="77">
        <v>70000</v>
      </c>
      <c r="D1227" s="78">
        <v>0.75</v>
      </c>
      <c r="E1227" s="79">
        <f>+(A1227*C1227)+(A1227*C1227*D1227)</f>
        <v>122500</v>
      </c>
      <c r="F1227" s="75">
        <v>10</v>
      </c>
      <c r="G1227" s="65">
        <f>ROUND(E1227/(F1227),2)</f>
        <v>12250</v>
      </c>
      <c r="H1227" s="73"/>
    </row>
    <row r="1228" spans="1:8" ht="17.2" customHeight="1" x14ac:dyDescent="0.3">
      <c r="A1228" s="63"/>
      <c r="B1228" s="63"/>
      <c r="C1228" s="63"/>
      <c r="D1228" s="63"/>
      <c r="E1228" s="64"/>
      <c r="F1228" s="64"/>
      <c r="G1228" s="64"/>
      <c r="H1228" s="73"/>
    </row>
    <row r="1229" spans="1:8" ht="17.2" customHeight="1" x14ac:dyDescent="0.3">
      <c r="A1229" s="70"/>
      <c r="E1229" s="71" t="s">
        <v>54</v>
      </c>
      <c r="F1229" s="71"/>
      <c r="G1229" s="71"/>
      <c r="H1229" s="72">
        <f>ROUND(SUM(G1226)+(G1227),2)</f>
        <v>33250</v>
      </c>
    </row>
    <row r="1230" spans="1:8" ht="17.2" customHeight="1" x14ac:dyDescent="0.3">
      <c r="A1230" s="61" t="s">
        <v>55</v>
      </c>
      <c r="B1230" s="525" t="s">
        <v>56</v>
      </c>
      <c r="C1230" s="526"/>
      <c r="D1230" s="526"/>
      <c r="E1230" s="526"/>
      <c r="F1230" s="526"/>
      <c r="G1230" s="527"/>
      <c r="H1230" s="73"/>
    </row>
    <row r="1231" spans="1:8" ht="17.2" customHeight="1" x14ac:dyDescent="0.3">
      <c r="A1231" s="63"/>
      <c r="B1231" s="63" t="s">
        <v>34</v>
      </c>
      <c r="C1231" s="62" t="s">
        <v>43</v>
      </c>
      <c r="D1231" s="62" t="s">
        <v>57</v>
      </c>
      <c r="E1231" s="62" t="s">
        <v>58</v>
      </c>
      <c r="F1231" s="62"/>
      <c r="G1231" s="64" t="s">
        <v>59</v>
      </c>
      <c r="H1231" s="73"/>
    </row>
    <row r="1232" spans="1:8" ht="17.2" customHeight="1" x14ac:dyDescent="0.3">
      <c r="A1232" s="63"/>
      <c r="B1232" s="63" t="s">
        <v>82</v>
      </c>
      <c r="C1232" s="80" t="s">
        <v>83</v>
      </c>
      <c r="D1232" s="63">
        <v>5.0000000000000001E-3</v>
      </c>
      <c r="E1232" s="64">
        <v>50000</v>
      </c>
      <c r="F1232" s="64"/>
      <c r="G1232" s="64">
        <f>D1232*E1232</f>
        <v>250</v>
      </c>
      <c r="H1232" s="73"/>
    </row>
    <row r="1233" spans="1:8" ht="17.2" customHeight="1" x14ac:dyDescent="0.3">
      <c r="A1233" s="63"/>
      <c r="B1233" s="63"/>
      <c r="C1233" s="81"/>
      <c r="D1233" s="63"/>
      <c r="E1233" s="64"/>
      <c r="F1233" s="64"/>
      <c r="G1233" s="64"/>
      <c r="H1233" s="73"/>
    </row>
    <row r="1234" spans="1:8" ht="17.2" customHeight="1" x14ac:dyDescent="0.3">
      <c r="A1234" s="63"/>
      <c r="B1234" s="63"/>
      <c r="C1234" s="63"/>
      <c r="D1234" s="63"/>
      <c r="E1234" s="64"/>
      <c r="F1234" s="64"/>
      <c r="G1234" s="64"/>
      <c r="H1234" s="73"/>
    </row>
    <row r="1235" spans="1:8" ht="17.2" customHeight="1" x14ac:dyDescent="0.3">
      <c r="A1235" s="70"/>
      <c r="E1235" s="71" t="s">
        <v>54</v>
      </c>
      <c r="F1235" s="71"/>
      <c r="G1235" s="71"/>
      <c r="H1235" s="119">
        <f>ROUND(SUM(G1232)+(G1233),0)</f>
        <v>250</v>
      </c>
    </row>
    <row r="1236" spans="1:8" ht="17.2" customHeight="1" x14ac:dyDescent="0.3">
      <c r="A1236" s="59"/>
      <c r="E1236" s="71"/>
      <c r="F1236" s="71"/>
      <c r="G1236" s="71"/>
      <c r="H1236" s="73"/>
    </row>
    <row r="1237" spans="1:8" ht="17.2" customHeight="1" x14ac:dyDescent="0.3">
      <c r="A1237" s="59"/>
      <c r="D1237" s="82" t="s">
        <v>60</v>
      </c>
      <c r="E1237" s="83"/>
      <c r="F1237" s="83"/>
      <c r="G1237" s="83"/>
      <c r="H1237" s="72">
        <f>ROUND(SUM(H1213:H1236),2)</f>
        <v>239825</v>
      </c>
    </row>
    <row r="1238" spans="1:8" ht="17.2" customHeight="1" x14ac:dyDescent="0.3">
      <c r="A1238" s="59"/>
      <c r="E1238" s="71"/>
      <c r="F1238" s="71"/>
      <c r="G1238" s="71"/>
      <c r="H1238" s="73"/>
    </row>
    <row r="1239" spans="1:8" ht="17.2" customHeight="1" x14ac:dyDescent="0.3">
      <c r="A1239" s="61" t="s">
        <v>61</v>
      </c>
      <c r="B1239" s="525" t="s">
        <v>62</v>
      </c>
      <c r="C1239" s="526"/>
      <c r="D1239" s="526"/>
      <c r="E1239" s="526"/>
      <c r="F1239" s="526"/>
      <c r="G1239" s="527"/>
      <c r="H1239" s="73"/>
    </row>
    <row r="1240" spans="1:8" ht="17.2" customHeight="1" x14ac:dyDescent="0.3">
      <c r="A1240" s="62"/>
      <c r="B1240" s="518" t="s">
        <v>34</v>
      </c>
      <c r="C1240" s="519"/>
      <c r="D1240" s="518" t="s">
        <v>63</v>
      </c>
      <c r="E1240" s="519"/>
      <c r="F1240" s="528" t="s">
        <v>64</v>
      </c>
      <c r="G1240" s="529"/>
      <c r="H1240" s="73"/>
    </row>
    <row r="1241" spans="1:8" ht="17.2" customHeight="1" x14ac:dyDescent="0.3">
      <c r="A1241" s="63"/>
      <c r="B1241" s="518" t="s">
        <v>20</v>
      </c>
      <c r="C1241" s="519"/>
      <c r="D1241" s="520">
        <v>0.28000000000000003</v>
      </c>
      <c r="E1241" s="519"/>
      <c r="F1241" s="521">
        <f>+H1237*D1241</f>
        <v>67151</v>
      </c>
      <c r="G1241" s="522"/>
      <c r="H1241" s="73"/>
    </row>
    <row r="1242" spans="1:8" ht="17.2" customHeight="1" x14ac:dyDescent="0.3">
      <c r="A1242" s="63"/>
      <c r="B1242" s="518" t="s">
        <v>21</v>
      </c>
      <c r="C1242" s="519"/>
      <c r="D1242" s="520">
        <v>0.01</v>
      </c>
      <c r="E1242" s="519"/>
      <c r="F1242" s="521">
        <f>+H1237*D1242</f>
        <v>2398.25</v>
      </c>
      <c r="G1242" s="522"/>
      <c r="H1242" s="73"/>
    </row>
    <row r="1243" spans="1:8" ht="17.2" customHeight="1" x14ac:dyDescent="0.3">
      <c r="A1243" s="63"/>
      <c r="B1243" s="518" t="s">
        <v>22</v>
      </c>
      <c r="C1243" s="519"/>
      <c r="D1243" s="520">
        <v>0.03</v>
      </c>
      <c r="E1243" s="519"/>
      <c r="F1243" s="521">
        <f>+H1237*D1243</f>
        <v>7194.75</v>
      </c>
      <c r="G1243" s="522"/>
      <c r="H1243" s="73"/>
    </row>
    <row r="1244" spans="1:8" ht="17.2" customHeight="1" x14ac:dyDescent="0.3">
      <c r="A1244" s="63"/>
      <c r="B1244" s="518" t="s">
        <v>188</v>
      </c>
      <c r="C1244" s="519"/>
      <c r="D1244" s="520">
        <v>0.19</v>
      </c>
      <c r="E1244" s="519"/>
      <c r="F1244" s="521">
        <f>D1244*F1243</f>
        <v>1367.0025000000001</v>
      </c>
      <c r="G1244" s="522"/>
      <c r="H1244" s="73"/>
    </row>
    <row r="1245" spans="1:8" ht="17.2" customHeight="1" x14ac:dyDescent="0.3">
      <c r="A1245" s="59"/>
      <c r="D1245" s="82" t="s">
        <v>65</v>
      </c>
      <c r="E1245" s="83"/>
      <c r="F1245" s="83"/>
      <c r="G1245" s="83"/>
      <c r="H1245" s="72">
        <f>SUM(F1241:G1244)</f>
        <v>78111.002500000002</v>
      </c>
    </row>
    <row r="1246" spans="1:8" ht="17.2" customHeight="1" x14ac:dyDescent="0.3">
      <c r="A1246" s="59"/>
      <c r="E1246" s="71"/>
      <c r="F1246" s="71"/>
      <c r="G1246" s="71"/>
      <c r="H1246" s="73"/>
    </row>
    <row r="1247" spans="1:8" ht="17.2" customHeight="1" x14ac:dyDescent="0.3">
      <c r="A1247" s="59"/>
      <c r="D1247" s="82" t="s">
        <v>66</v>
      </c>
      <c r="E1247" s="83"/>
      <c r="F1247" s="83"/>
      <c r="G1247" s="71"/>
      <c r="H1247" s="72">
        <f>H1237+H1245</f>
        <v>317936.0025</v>
      </c>
    </row>
    <row r="1248" spans="1:8" ht="17.2" customHeight="1" x14ac:dyDescent="0.3">
      <c r="A1248" s="59"/>
      <c r="D1248" s="82"/>
      <c r="E1248" s="83"/>
      <c r="F1248" s="83"/>
      <c r="G1248" s="71"/>
      <c r="H1248" s="73"/>
    </row>
    <row r="1249" spans="1:8" ht="17.2" customHeight="1" x14ac:dyDescent="0.3">
      <c r="A1249" s="59"/>
      <c r="E1249" s="83"/>
      <c r="F1249" s="83"/>
      <c r="G1249" s="71"/>
      <c r="H1249" s="73"/>
    </row>
    <row r="1250" spans="1:8" ht="17.2" customHeight="1" x14ac:dyDescent="0.3">
      <c r="A1250" s="84"/>
      <c r="B1250" s="85"/>
      <c r="E1250" s="46"/>
      <c r="F1250" s="47"/>
      <c r="G1250" s="48"/>
      <c r="H1250" s="73"/>
    </row>
    <row r="1251" spans="1:8" ht="17.2" customHeight="1" x14ac:dyDescent="0.3">
      <c r="A1251" s="86" t="s">
        <v>67</v>
      </c>
      <c r="B1251" s="50" t="s">
        <v>68</v>
      </c>
      <c r="E1251" s="49" t="s">
        <v>27</v>
      </c>
      <c r="F1251" s="50"/>
      <c r="G1251" s="50"/>
      <c r="H1251" s="87"/>
    </row>
    <row r="1252" spans="1:8" ht="17.2" customHeight="1" x14ac:dyDescent="0.3">
      <c r="A1252" s="88" t="s">
        <v>28</v>
      </c>
      <c r="B1252" s="50"/>
      <c r="E1252" s="50" t="str">
        <f ca="1">+$E$52</f>
        <v>SECRETARIO DE PLANEACION Y OBRAS PUBLICAS</v>
      </c>
      <c r="F1252" s="50"/>
      <c r="G1252" s="50"/>
      <c r="H1252" s="87"/>
    </row>
    <row r="1253" spans="1:8" ht="17.2" customHeight="1" x14ac:dyDescent="0.3">
      <c r="A1253" s="88"/>
      <c r="B1253" s="50"/>
      <c r="E1253" s="50" t="str">
        <f ca="1">+$E$53</f>
        <v>SAN MIGUEL - PUTUMAYO</v>
      </c>
      <c r="F1253" s="50"/>
      <c r="G1253" s="50"/>
      <c r="H1253" s="87"/>
    </row>
    <row r="1254" spans="1:8" ht="17.2" customHeight="1" x14ac:dyDescent="0.3">
      <c r="A1254" s="50"/>
      <c r="B1254" s="50"/>
      <c r="E1254" s="50"/>
      <c r="F1254" s="50"/>
      <c r="G1254" s="50"/>
      <c r="H1254" s="50"/>
    </row>
    <row r="1255" spans="1:8" ht="17.2" customHeight="1" x14ac:dyDescent="0.3">
      <c r="A1255" s="556"/>
      <c r="B1255" s="557"/>
      <c r="C1255" s="380" t="s">
        <v>2</v>
      </c>
      <c r="D1255" s="382" t="s">
        <v>3</v>
      </c>
      <c r="E1255" s="383"/>
      <c r="F1255" s="1">
        <v>103</v>
      </c>
      <c r="G1255" s="548"/>
      <c r="H1255" s="549"/>
    </row>
    <row r="1256" spans="1:8" ht="17.2" customHeight="1" x14ac:dyDescent="0.3">
      <c r="A1256" s="558"/>
      <c r="B1256" s="559"/>
      <c r="C1256" s="381"/>
      <c r="D1256" s="396" t="s">
        <v>4</v>
      </c>
      <c r="E1256" s="397"/>
      <c r="F1256" s="400">
        <v>51</v>
      </c>
      <c r="G1256" s="550"/>
      <c r="H1256" s="551"/>
    </row>
    <row r="1257" spans="1:8" ht="17.2" customHeight="1" x14ac:dyDescent="0.3">
      <c r="A1257" s="558"/>
      <c r="B1257" s="559"/>
      <c r="C1257" s="5" t="s">
        <v>5</v>
      </c>
      <c r="D1257" s="398"/>
      <c r="E1257" s="399"/>
      <c r="F1257" s="401"/>
      <c r="G1257" s="550"/>
      <c r="H1257" s="551"/>
    </row>
    <row r="1258" spans="1:8" ht="23.25" customHeight="1" x14ac:dyDescent="0.3">
      <c r="A1258" s="558"/>
      <c r="B1258" s="559"/>
      <c r="C1258" s="55" t="s">
        <v>6</v>
      </c>
      <c r="D1258" s="402" t="s">
        <v>7</v>
      </c>
      <c r="E1258" s="403"/>
      <c r="F1258" s="7">
        <v>1</v>
      </c>
      <c r="G1258" s="550"/>
      <c r="H1258" s="551"/>
    </row>
    <row r="1259" spans="1:8" ht="17.2" customHeight="1" x14ac:dyDescent="0.3">
      <c r="A1259" s="558"/>
      <c r="B1259" s="559"/>
      <c r="C1259" s="530" t="s">
        <v>8</v>
      </c>
      <c r="D1259" s="532" t="s">
        <v>9</v>
      </c>
      <c r="E1259" s="533"/>
      <c r="F1259" s="5" t="s">
        <v>10</v>
      </c>
      <c r="G1259" s="550"/>
      <c r="H1259" s="551"/>
    </row>
    <row r="1260" spans="1:8" ht="17.2" customHeight="1" x14ac:dyDescent="0.3">
      <c r="A1260" s="560"/>
      <c r="B1260" s="561"/>
      <c r="C1260" s="531"/>
      <c r="D1260" s="534"/>
      <c r="E1260" s="535"/>
      <c r="F1260" s="8">
        <f>$F$6</f>
        <v>45402</v>
      </c>
      <c r="G1260" s="552"/>
      <c r="H1260" s="553"/>
    </row>
    <row r="1261" spans="1:8" ht="17.2" customHeight="1" thickBot="1" x14ac:dyDescent="0.35">
      <c r="A1261" s="536"/>
      <c r="B1261" s="537"/>
      <c r="C1261" s="537"/>
      <c r="D1261" s="537"/>
      <c r="E1261" s="537"/>
      <c r="F1261" s="537"/>
      <c r="G1261" s="537"/>
      <c r="H1261" s="538"/>
    </row>
    <row r="1262" spans="1:8" ht="28.15" customHeight="1" thickBot="1" x14ac:dyDescent="0.35">
      <c r="A1262" s="92">
        <v>4.9000000000000004</v>
      </c>
      <c r="B1262" s="539" t="str">
        <f>VLOOKUP(A1262,PRESUPUESTO!$A$14:$G$71,2,)</f>
        <v>Suministro e instalación de taza sanitaria tipo institucional (incluye accesorios de fijación y conexión)</v>
      </c>
      <c r="C1262" s="540"/>
      <c r="D1262" s="540"/>
      <c r="E1262" s="540"/>
      <c r="F1262" s="541"/>
      <c r="G1262" s="57" t="s">
        <v>31</v>
      </c>
      <c r="H1262" s="58" t="str">
        <f>VLOOKUP(A1262,PRESUPUESTO!$A$14:$G$71,4,)</f>
        <v>UND</v>
      </c>
    </row>
    <row r="1263" spans="1:8" ht="17.2" customHeight="1" x14ac:dyDescent="0.3">
      <c r="A1263" s="59"/>
      <c r="H1263" s="60"/>
    </row>
    <row r="1264" spans="1:8" ht="17.2" customHeight="1" x14ac:dyDescent="0.3">
      <c r="A1264" s="61" t="s">
        <v>32</v>
      </c>
      <c r="B1264" s="525" t="s">
        <v>33</v>
      </c>
      <c r="C1264" s="526"/>
      <c r="D1264" s="526"/>
      <c r="E1264" s="526"/>
      <c r="F1264" s="526"/>
      <c r="G1264" s="527"/>
      <c r="H1264" s="60"/>
    </row>
    <row r="1265" spans="1:8" ht="17.2" customHeight="1" x14ac:dyDescent="0.3">
      <c r="A1265" s="62"/>
      <c r="B1265" s="518" t="s">
        <v>34</v>
      </c>
      <c r="C1265" s="519"/>
      <c r="D1265" s="62" t="s">
        <v>35</v>
      </c>
      <c r="E1265" s="62" t="s">
        <v>69</v>
      </c>
      <c r="F1265" s="62" t="s">
        <v>70</v>
      </c>
      <c r="G1265" s="62" t="s">
        <v>38</v>
      </c>
      <c r="H1265" s="60"/>
    </row>
    <row r="1266" spans="1:8" ht="17.2" customHeight="1" x14ac:dyDescent="0.3">
      <c r="A1266" s="63"/>
      <c r="B1266" s="542" t="s">
        <v>39</v>
      </c>
      <c r="C1266" s="543"/>
      <c r="D1266" s="63"/>
      <c r="E1266" s="64"/>
      <c r="F1266" s="64">
        <v>0.1</v>
      </c>
      <c r="G1266" s="65">
        <f>ROUND(H1281*F1266,2)</f>
        <v>3033.33</v>
      </c>
      <c r="H1266" s="66"/>
    </row>
    <row r="1267" spans="1:8" ht="17.2" customHeight="1" x14ac:dyDescent="0.3">
      <c r="A1267" s="63"/>
      <c r="B1267" s="542"/>
      <c r="C1267" s="543"/>
      <c r="D1267" s="62"/>
      <c r="E1267" s="68"/>
      <c r="F1267" s="64"/>
      <c r="G1267" s="69"/>
      <c r="H1267" s="66"/>
    </row>
    <row r="1268" spans="1:8" ht="17.2" customHeight="1" x14ac:dyDescent="0.3">
      <c r="A1268" s="70"/>
      <c r="E1268" s="71" t="s">
        <v>40</v>
      </c>
      <c r="F1268" s="71"/>
      <c r="G1268" s="71"/>
      <c r="H1268" s="72">
        <f>ROUND(SUM(G1266:G1267),2)</f>
        <v>3033.33</v>
      </c>
    </row>
    <row r="1269" spans="1:8" ht="17.2" customHeight="1" x14ac:dyDescent="0.3">
      <c r="A1269" s="61" t="s">
        <v>41</v>
      </c>
      <c r="B1269" s="525" t="s">
        <v>42</v>
      </c>
      <c r="C1269" s="526"/>
      <c r="D1269" s="526"/>
      <c r="E1269" s="526"/>
      <c r="F1269" s="526"/>
      <c r="G1269" s="527"/>
      <c r="H1269" s="73"/>
    </row>
    <row r="1270" spans="1:8" ht="17.2" customHeight="1" x14ac:dyDescent="0.3">
      <c r="A1270" s="62"/>
      <c r="B1270" s="518" t="s">
        <v>34</v>
      </c>
      <c r="C1270" s="519"/>
      <c r="D1270" s="62" t="s">
        <v>43</v>
      </c>
      <c r="E1270" s="74" t="s">
        <v>44</v>
      </c>
      <c r="F1270" s="74" t="s">
        <v>45</v>
      </c>
      <c r="G1270" s="74" t="s">
        <v>38</v>
      </c>
      <c r="H1270" s="73"/>
    </row>
    <row r="1271" spans="1:8" ht="19.149999999999999" customHeight="1" x14ac:dyDescent="0.3">
      <c r="A1271" s="63"/>
      <c r="B1271" s="554" t="s">
        <v>426</v>
      </c>
      <c r="C1271" s="555"/>
      <c r="D1271" s="93" t="s">
        <v>200</v>
      </c>
      <c r="E1271" s="94">
        <v>1</v>
      </c>
      <c r="F1271" s="272">
        <v>350000</v>
      </c>
      <c r="G1271" s="120">
        <f>ROUND(E1271*F1271,2)</f>
        <v>350000</v>
      </c>
      <c r="H1271" s="73"/>
    </row>
    <row r="1272" spans="1:8" ht="17.2" customHeight="1" x14ac:dyDescent="0.3">
      <c r="A1272" s="63"/>
      <c r="B1272" s="546"/>
      <c r="C1272" s="547"/>
      <c r="D1272" s="270"/>
      <c r="E1272" s="270"/>
      <c r="F1272" s="95"/>
      <c r="G1272" s="67"/>
      <c r="H1272" s="73"/>
    </row>
    <row r="1273" spans="1:8" ht="17.2" customHeight="1" x14ac:dyDescent="0.3">
      <c r="A1273" s="63"/>
      <c r="B1273" s="523"/>
      <c r="C1273" s="524"/>
      <c r="D1273" s="93"/>
      <c r="E1273" s="94"/>
      <c r="F1273" s="95"/>
      <c r="G1273" s="67"/>
      <c r="H1273" s="73"/>
    </row>
    <row r="1274" spans="1:8" ht="17.2" customHeight="1" x14ac:dyDescent="0.3">
      <c r="A1274" s="63"/>
      <c r="B1274" s="523"/>
      <c r="C1274" s="524"/>
      <c r="D1274" s="93"/>
      <c r="E1274" s="94"/>
      <c r="F1274" s="95"/>
      <c r="G1274" s="67"/>
      <c r="H1274" s="73"/>
    </row>
    <row r="1275" spans="1:8" ht="17.2" customHeight="1" x14ac:dyDescent="0.3">
      <c r="A1275" s="70" t="s">
        <v>46</v>
      </c>
      <c r="E1275" s="71" t="s">
        <v>47</v>
      </c>
      <c r="F1275" s="71"/>
      <c r="G1275" s="71"/>
      <c r="H1275" s="76">
        <f>ROUND(SUM(G1271:G1274),2)</f>
        <v>350000</v>
      </c>
    </row>
    <row r="1276" spans="1:8" ht="17.2" customHeight="1" x14ac:dyDescent="0.3">
      <c r="A1276" s="61" t="s">
        <v>48</v>
      </c>
      <c r="B1276" s="525" t="s">
        <v>49</v>
      </c>
      <c r="C1276" s="526"/>
      <c r="D1276" s="526"/>
      <c r="E1276" s="526"/>
      <c r="F1276" s="526"/>
      <c r="G1276" s="527"/>
      <c r="H1276" s="73"/>
    </row>
    <row r="1277" spans="1:8" ht="17.2" customHeight="1" x14ac:dyDescent="0.3">
      <c r="A1277" s="62" t="s">
        <v>50</v>
      </c>
      <c r="B1277" s="62" t="s">
        <v>34</v>
      </c>
      <c r="C1277" s="62" t="s">
        <v>51</v>
      </c>
      <c r="D1277" s="62" t="s">
        <v>52</v>
      </c>
      <c r="E1277" s="74" t="s">
        <v>53</v>
      </c>
      <c r="F1277" s="64" t="s">
        <v>260</v>
      </c>
      <c r="G1277" s="64" t="s">
        <v>38</v>
      </c>
      <c r="H1277" s="73"/>
    </row>
    <row r="1278" spans="1:8" ht="17.2" customHeight="1" x14ac:dyDescent="0.3">
      <c r="A1278" s="62">
        <v>1</v>
      </c>
      <c r="B1278" s="63" t="s">
        <v>79</v>
      </c>
      <c r="C1278" s="77">
        <v>120000</v>
      </c>
      <c r="D1278" s="78">
        <v>0.75</v>
      </c>
      <c r="E1278" s="79">
        <f>+(A1278*C1278)+(A1278*C1278*D1278)</f>
        <v>210000</v>
      </c>
      <c r="F1278" s="75">
        <v>15</v>
      </c>
      <c r="G1278" s="65">
        <f>ROUND(E1278/(F1278),2)</f>
        <v>14000</v>
      </c>
      <c r="H1278" s="73"/>
    </row>
    <row r="1279" spans="1:8" ht="17.2" customHeight="1" x14ac:dyDescent="0.3">
      <c r="A1279" s="62">
        <v>2</v>
      </c>
      <c r="B1279" s="63" t="s">
        <v>80</v>
      </c>
      <c r="C1279" s="77">
        <v>70000</v>
      </c>
      <c r="D1279" s="78">
        <v>0.75</v>
      </c>
      <c r="E1279" s="79">
        <f>+(A1279*C1279)+(A1279*C1279*D1279)</f>
        <v>245000</v>
      </c>
      <c r="F1279" s="75">
        <v>15</v>
      </c>
      <c r="G1279" s="65">
        <f>ROUND(E1279/(F1279),2)</f>
        <v>16333.33</v>
      </c>
      <c r="H1279" s="73"/>
    </row>
    <row r="1280" spans="1:8" ht="17.2" customHeight="1" x14ac:dyDescent="0.3">
      <c r="A1280" s="63"/>
      <c r="B1280" s="63"/>
      <c r="C1280" s="63"/>
      <c r="D1280" s="63"/>
      <c r="E1280" s="64"/>
      <c r="F1280" s="64"/>
      <c r="G1280" s="64"/>
      <c r="H1280" s="73"/>
    </row>
    <row r="1281" spans="1:8" ht="17.2" customHeight="1" x14ac:dyDescent="0.3">
      <c r="A1281" s="70"/>
      <c r="E1281" s="71" t="s">
        <v>54</v>
      </c>
      <c r="F1281" s="71"/>
      <c r="G1281" s="71"/>
      <c r="H1281" s="72">
        <f>ROUND(SUM(G1278)+(G1279),2)</f>
        <v>30333.33</v>
      </c>
    </row>
    <row r="1282" spans="1:8" ht="17.2" customHeight="1" x14ac:dyDescent="0.3">
      <c r="A1282" s="61" t="s">
        <v>55</v>
      </c>
      <c r="B1282" s="525" t="s">
        <v>56</v>
      </c>
      <c r="C1282" s="526"/>
      <c r="D1282" s="526"/>
      <c r="E1282" s="526"/>
      <c r="F1282" s="526"/>
      <c r="G1282" s="527"/>
      <c r="H1282" s="73"/>
    </row>
    <row r="1283" spans="1:8" ht="17.2" customHeight="1" x14ac:dyDescent="0.3">
      <c r="A1283" s="63"/>
      <c r="B1283" s="63" t="s">
        <v>34</v>
      </c>
      <c r="C1283" s="62" t="s">
        <v>43</v>
      </c>
      <c r="D1283" s="62" t="s">
        <v>57</v>
      </c>
      <c r="E1283" s="62" t="s">
        <v>58</v>
      </c>
      <c r="F1283" s="62"/>
      <c r="G1283" s="64" t="s">
        <v>59</v>
      </c>
      <c r="H1283" s="73"/>
    </row>
    <row r="1284" spans="1:8" ht="17.2" customHeight="1" x14ac:dyDescent="0.3">
      <c r="A1284" s="63"/>
      <c r="B1284" s="63" t="s">
        <v>82</v>
      </c>
      <c r="C1284" s="80" t="s">
        <v>83</v>
      </c>
      <c r="D1284" s="63">
        <v>5.0000000000000001E-3</v>
      </c>
      <c r="E1284" s="64">
        <v>50000</v>
      </c>
      <c r="F1284" s="64"/>
      <c r="G1284" s="64">
        <f>D1284*E1284</f>
        <v>250</v>
      </c>
      <c r="H1284" s="73"/>
    </row>
    <row r="1285" spans="1:8" ht="17.2" customHeight="1" x14ac:dyDescent="0.3">
      <c r="A1285" s="63"/>
      <c r="B1285" s="63"/>
      <c r="C1285" s="81"/>
      <c r="D1285" s="63"/>
      <c r="E1285" s="64"/>
      <c r="F1285" s="64"/>
      <c r="G1285" s="64"/>
      <c r="H1285" s="73"/>
    </row>
    <row r="1286" spans="1:8" ht="17.2" customHeight="1" x14ac:dyDescent="0.3">
      <c r="A1286" s="63"/>
      <c r="B1286" s="63"/>
      <c r="C1286" s="63"/>
      <c r="D1286" s="63"/>
      <c r="E1286" s="64"/>
      <c r="F1286" s="64"/>
      <c r="G1286" s="64"/>
      <c r="H1286" s="73"/>
    </row>
    <row r="1287" spans="1:8" ht="17.2" customHeight="1" x14ac:dyDescent="0.3">
      <c r="A1287" s="70"/>
      <c r="E1287" s="71" t="s">
        <v>54</v>
      </c>
      <c r="F1287" s="71"/>
      <c r="G1287" s="71"/>
      <c r="H1287" s="119">
        <f>ROUND(SUM(G1284)+(G1285),0)</f>
        <v>250</v>
      </c>
    </row>
    <row r="1288" spans="1:8" ht="17.2" customHeight="1" x14ac:dyDescent="0.3">
      <c r="A1288" s="59"/>
      <c r="E1288" s="71"/>
      <c r="F1288" s="71"/>
      <c r="G1288" s="71"/>
      <c r="H1288" s="73"/>
    </row>
    <row r="1289" spans="1:8" ht="17.2" customHeight="1" x14ac:dyDescent="0.3">
      <c r="A1289" s="59"/>
      <c r="D1289" s="82" t="s">
        <v>60</v>
      </c>
      <c r="E1289" s="83"/>
      <c r="F1289" s="83"/>
      <c r="G1289" s="83"/>
      <c r="H1289" s="72">
        <f>ROUND(SUM(H1268:H1288),2)</f>
        <v>383616.66</v>
      </c>
    </row>
    <row r="1290" spans="1:8" ht="17.2" customHeight="1" x14ac:dyDescent="0.3">
      <c r="A1290" s="59"/>
      <c r="E1290" s="71"/>
      <c r="F1290" s="71"/>
      <c r="G1290" s="71"/>
      <c r="H1290" s="73"/>
    </row>
    <row r="1291" spans="1:8" ht="17.2" customHeight="1" x14ac:dyDescent="0.3">
      <c r="A1291" s="61" t="s">
        <v>61</v>
      </c>
      <c r="B1291" s="525" t="s">
        <v>62</v>
      </c>
      <c r="C1291" s="526"/>
      <c r="D1291" s="526"/>
      <c r="E1291" s="526"/>
      <c r="F1291" s="526"/>
      <c r="G1291" s="527"/>
      <c r="H1291" s="73"/>
    </row>
    <row r="1292" spans="1:8" ht="17.2" customHeight="1" x14ac:dyDescent="0.3">
      <c r="A1292" s="62"/>
      <c r="B1292" s="518" t="s">
        <v>34</v>
      </c>
      <c r="C1292" s="519"/>
      <c r="D1292" s="518" t="s">
        <v>63</v>
      </c>
      <c r="E1292" s="519"/>
      <c r="F1292" s="528" t="s">
        <v>64</v>
      </c>
      <c r="G1292" s="529"/>
      <c r="H1292" s="73"/>
    </row>
    <row r="1293" spans="1:8" ht="17.2" customHeight="1" x14ac:dyDescent="0.3">
      <c r="A1293" s="63"/>
      <c r="B1293" s="518" t="s">
        <v>20</v>
      </c>
      <c r="C1293" s="519"/>
      <c r="D1293" s="520">
        <v>0.28000000000000003</v>
      </c>
      <c r="E1293" s="519"/>
      <c r="F1293" s="521">
        <f>+H1289*D1293</f>
        <v>107412.6648</v>
      </c>
      <c r="G1293" s="522"/>
      <c r="H1293" s="73"/>
    </row>
    <row r="1294" spans="1:8" ht="17.2" customHeight="1" x14ac:dyDescent="0.3">
      <c r="A1294" s="63"/>
      <c r="B1294" s="518" t="s">
        <v>21</v>
      </c>
      <c r="C1294" s="519"/>
      <c r="D1294" s="520">
        <v>0.01</v>
      </c>
      <c r="E1294" s="519"/>
      <c r="F1294" s="521">
        <f>+H1289*D1294</f>
        <v>3836.1666</v>
      </c>
      <c r="G1294" s="522"/>
      <c r="H1294" s="73"/>
    </row>
    <row r="1295" spans="1:8" ht="17.2" customHeight="1" x14ac:dyDescent="0.3">
      <c r="A1295" s="63"/>
      <c r="B1295" s="518" t="s">
        <v>22</v>
      </c>
      <c r="C1295" s="519"/>
      <c r="D1295" s="520">
        <v>0.03</v>
      </c>
      <c r="E1295" s="519"/>
      <c r="F1295" s="521">
        <f>+H1289*D1295</f>
        <v>11508.4998</v>
      </c>
      <c r="G1295" s="522"/>
      <c r="H1295" s="73"/>
    </row>
    <row r="1296" spans="1:8" ht="17.2" customHeight="1" x14ac:dyDescent="0.3">
      <c r="A1296" s="63"/>
      <c r="B1296" s="518" t="s">
        <v>188</v>
      </c>
      <c r="C1296" s="519"/>
      <c r="D1296" s="520">
        <v>0.19</v>
      </c>
      <c r="E1296" s="519"/>
      <c r="F1296" s="521">
        <f>D1296*F1295</f>
        <v>2186.6149620000001</v>
      </c>
      <c r="G1296" s="522"/>
      <c r="H1296" s="73"/>
    </row>
    <row r="1297" spans="1:8" ht="17.2" customHeight="1" x14ac:dyDescent="0.3">
      <c r="A1297" s="59"/>
      <c r="D1297" s="82" t="s">
        <v>65</v>
      </c>
      <c r="E1297" s="83"/>
      <c r="F1297" s="83"/>
      <c r="G1297" s="83"/>
      <c r="H1297" s="72">
        <f>SUM(F1293:G1296)</f>
        <v>124943.94616200001</v>
      </c>
    </row>
    <row r="1298" spans="1:8" ht="17.2" customHeight="1" x14ac:dyDescent="0.3">
      <c r="A1298" s="59"/>
      <c r="E1298" s="71"/>
      <c r="F1298" s="71"/>
      <c r="G1298" s="71"/>
      <c r="H1298" s="73"/>
    </row>
    <row r="1299" spans="1:8" ht="17.2" customHeight="1" x14ac:dyDescent="0.3">
      <c r="A1299" s="59"/>
      <c r="D1299" s="82" t="s">
        <v>66</v>
      </c>
      <c r="E1299" s="83"/>
      <c r="F1299" s="83"/>
      <c r="G1299" s="71"/>
      <c r="H1299" s="72">
        <f>H1289+H1297</f>
        <v>508560.60616199998</v>
      </c>
    </row>
    <row r="1300" spans="1:8" ht="17.2" customHeight="1" x14ac:dyDescent="0.3">
      <c r="A1300" s="59"/>
      <c r="D1300" s="82"/>
      <c r="E1300" s="83"/>
      <c r="F1300" s="83"/>
      <c r="G1300" s="71"/>
      <c r="H1300" s="73"/>
    </row>
    <row r="1301" spans="1:8" ht="17.2" customHeight="1" x14ac:dyDescent="0.3">
      <c r="A1301" s="59"/>
      <c r="E1301" s="83"/>
      <c r="F1301" s="83"/>
      <c r="G1301" s="71"/>
      <c r="H1301" s="73"/>
    </row>
    <row r="1302" spans="1:8" ht="17.2" customHeight="1" x14ac:dyDescent="0.3">
      <c r="A1302" s="84"/>
      <c r="B1302" s="85"/>
      <c r="E1302" s="46"/>
      <c r="F1302" s="47"/>
      <c r="G1302" s="48"/>
      <c r="H1302" s="73"/>
    </row>
    <row r="1303" spans="1:8" ht="17.2" customHeight="1" x14ac:dyDescent="0.3">
      <c r="A1303" s="86" t="s">
        <v>67</v>
      </c>
      <c r="B1303" s="50" t="s">
        <v>68</v>
      </c>
      <c r="E1303" s="49" t="s">
        <v>27</v>
      </c>
      <c r="F1303" s="50"/>
      <c r="G1303" s="50"/>
      <c r="H1303" s="87"/>
    </row>
    <row r="1304" spans="1:8" ht="17.2" customHeight="1" x14ac:dyDescent="0.3">
      <c r="A1304" s="88" t="s">
        <v>28</v>
      </c>
      <c r="B1304" s="50"/>
      <c r="E1304" s="50" t="str">
        <f ca="1">+$E$52</f>
        <v>SECRETARIO DE PLANEACION Y OBRAS PUBLICAS</v>
      </c>
      <c r="F1304" s="50"/>
      <c r="G1304" s="50"/>
      <c r="H1304" s="87"/>
    </row>
    <row r="1305" spans="1:8" ht="17.2" customHeight="1" x14ac:dyDescent="0.3">
      <c r="A1305" s="88"/>
      <c r="B1305" s="50"/>
      <c r="E1305" s="50" t="str">
        <f ca="1">+$E$53</f>
        <v>SAN MIGUEL - PUTUMAYO</v>
      </c>
      <c r="F1305" s="50"/>
      <c r="G1305" s="50"/>
      <c r="H1305" s="87"/>
    </row>
    <row r="1306" spans="1:8" ht="17.2" customHeight="1" x14ac:dyDescent="0.3">
      <c r="A1306" s="50"/>
      <c r="B1306" s="50"/>
      <c r="E1306" s="50"/>
      <c r="F1306" s="50"/>
      <c r="G1306" s="50"/>
      <c r="H1306" s="50"/>
    </row>
    <row r="1307" spans="1:8" ht="17.2" customHeight="1" x14ac:dyDescent="0.3">
      <c r="A1307" s="556"/>
      <c r="B1307" s="557"/>
      <c r="C1307" s="380" t="s">
        <v>2</v>
      </c>
      <c r="D1307" s="382" t="s">
        <v>3</v>
      </c>
      <c r="E1307" s="383"/>
      <c r="F1307" s="1">
        <v>103</v>
      </c>
      <c r="G1307" s="548"/>
      <c r="H1307" s="549"/>
    </row>
    <row r="1308" spans="1:8" ht="17.2" customHeight="1" x14ac:dyDescent="0.3">
      <c r="A1308" s="558"/>
      <c r="B1308" s="559"/>
      <c r="C1308" s="381"/>
      <c r="D1308" s="396" t="s">
        <v>4</v>
      </c>
      <c r="E1308" s="397"/>
      <c r="F1308" s="400">
        <v>51</v>
      </c>
      <c r="G1308" s="550"/>
      <c r="H1308" s="551"/>
    </row>
    <row r="1309" spans="1:8" ht="17.2" customHeight="1" x14ac:dyDescent="0.3">
      <c r="A1309" s="558"/>
      <c r="B1309" s="559"/>
      <c r="C1309" s="5" t="s">
        <v>5</v>
      </c>
      <c r="D1309" s="398"/>
      <c r="E1309" s="399"/>
      <c r="F1309" s="401"/>
      <c r="G1309" s="550"/>
      <c r="H1309" s="551"/>
    </row>
    <row r="1310" spans="1:8" ht="23.25" customHeight="1" x14ac:dyDescent="0.3">
      <c r="A1310" s="558"/>
      <c r="B1310" s="559"/>
      <c r="C1310" s="55" t="s">
        <v>6</v>
      </c>
      <c r="D1310" s="402" t="s">
        <v>7</v>
      </c>
      <c r="E1310" s="403"/>
      <c r="F1310" s="7">
        <v>1</v>
      </c>
      <c r="G1310" s="550"/>
      <c r="H1310" s="551"/>
    </row>
    <row r="1311" spans="1:8" ht="17.2" customHeight="1" x14ac:dyDescent="0.3">
      <c r="A1311" s="558"/>
      <c r="B1311" s="559"/>
      <c r="C1311" s="530" t="s">
        <v>8</v>
      </c>
      <c r="D1311" s="532" t="s">
        <v>9</v>
      </c>
      <c r="E1311" s="533"/>
      <c r="F1311" s="5" t="s">
        <v>10</v>
      </c>
      <c r="G1311" s="550"/>
      <c r="H1311" s="551"/>
    </row>
    <row r="1312" spans="1:8" ht="17.2" customHeight="1" x14ac:dyDescent="0.3">
      <c r="A1312" s="560"/>
      <c r="B1312" s="561"/>
      <c r="C1312" s="531"/>
      <c r="D1312" s="534"/>
      <c r="E1312" s="535"/>
      <c r="F1312" s="8">
        <f>$F$6</f>
        <v>45402</v>
      </c>
      <c r="G1312" s="552"/>
      <c r="H1312" s="553"/>
    </row>
    <row r="1313" spans="1:8" ht="17.2" customHeight="1" thickBot="1" x14ac:dyDescent="0.35">
      <c r="A1313" s="536"/>
      <c r="B1313" s="537"/>
      <c r="C1313" s="537"/>
      <c r="D1313" s="537"/>
      <c r="E1313" s="537"/>
      <c r="F1313" s="537"/>
      <c r="G1313" s="537"/>
      <c r="H1313" s="538"/>
    </row>
    <row r="1314" spans="1:8" ht="26.2" customHeight="1" thickBot="1" x14ac:dyDescent="0.35">
      <c r="A1314" s="275">
        <v>4.0999999999999996</v>
      </c>
      <c r="B1314" s="539" t="str">
        <f>PRESUPUESTO!B46</f>
        <v>Suministro e instalación de lavamanos institucional sobreponer línea económica</v>
      </c>
      <c r="C1314" s="540"/>
      <c r="D1314" s="540"/>
      <c r="E1314" s="540"/>
      <c r="F1314" s="541"/>
      <c r="G1314" s="57" t="s">
        <v>31</v>
      </c>
      <c r="H1314" s="58" t="str">
        <f>PRESUPUESTO!D46</f>
        <v>UND</v>
      </c>
    </row>
    <row r="1315" spans="1:8" ht="17.2" customHeight="1" x14ac:dyDescent="0.3">
      <c r="A1315" s="59"/>
      <c r="H1315" s="60"/>
    </row>
    <row r="1316" spans="1:8" ht="17.2" customHeight="1" x14ac:dyDescent="0.3">
      <c r="A1316" s="61" t="s">
        <v>32</v>
      </c>
      <c r="B1316" s="525" t="s">
        <v>33</v>
      </c>
      <c r="C1316" s="526"/>
      <c r="D1316" s="526"/>
      <c r="E1316" s="526"/>
      <c r="F1316" s="526"/>
      <c r="G1316" s="527"/>
      <c r="H1316" s="60"/>
    </row>
    <row r="1317" spans="1:8" ht="17.2" customHeight="1" x14ac:dyDescent="0.3">
      <c r="A1317" s="62"/>
      <c r="B1317" s="518" t="s">
        <v>34</v>
      </c>
      <c r="C1317" s="519"/>
      <c r="D1317" s="62" t="s">
        <v>35</v>
      </c>
      <c r="E1317" s="62" t="s">
        <v>69</v>
      </c>
      <c r="F1317" s="62" t="s">
        <v>70</v>
      </c>
      <c r="G1317" s="62" t="s">
        <v>38</v>
      </c>
      <c r="H1317" s="60"/>
    </row>
    <row r="1318" spans="1:8" ht="17.2" customHeight="1" x14ac:dyDescent="0.3">
      <c r="A1318" s="63"/>
      <c r="B1318" s="542" t="s">
        <v>39</v>
      </c>
      <c r="C1318" s="543"/>
      <c r="D1318" s="63"/>
      <c r="E1318" s="64"/>
      <c r="F1318" s="64">
        <v>0.1</v>
      </c>
      <c r="G1318" s="65">
        <f>ROUND(H1333*F1318,2)</f>
        <v>2216.67</v>
      </c>
      <c r="H1318" s="66"/>
    </row>
    <row r="1319" spans="1:8" ht="17.2" customHeight="1" x14ac:dyDescent="0.3">
      <c r="A1319" s="63"/>
      <c r="B1319" s="542"/>
      <c r="C1319" s="543"/>
      <c r="D1319" s="62"/>
      <c r="E1319" s="68"/>
      <c r="F1319" s="64"/>
      <c r="G1319" s="69"/>
      <c r="H1319" s="66"/>
    </row>
    <row r="1320" spans="1:8" ht="17.2" customHeight="1" x14ac:dyDescent="0.3">
      <c r="A1320" s="70"/>
      <c r="E1320" s="71" t="s">
        <v>40</v>
      </c>
      <c r="F1320" s="71"/>
      <c r="G1320" s="71"/>
      <c r="H1320" s="72">
        <f>ROUND(SUM(G1318:G1319),2)</f>
        <v>2216.67</v>
      </c>
    </row>
    <row r="1321" spans="1:8" ht="17.2" customHeight="1" x14ac:dyDescent="0.3">
      <c r="A1321" s="61" t="s">
        <v>41</v>
      </c>
      <c r="B1321" s="525" t="s">
        <v>42</v>
      </c>
      <c r="C1321" s="526"/>
      <c r="D1321" s="526"/>
      <c r="E1321" s="526"/>
      <c r="F1321" s="526"/>
      <c r="G1321" s="527"/>
      <c r="H1321" s="73"/>
    </row>
    <row r="1322" spans="1:8" ht="17.2" customHeight="1" x14ac:dyDescent="0.3">
      <c r="A1322" s="62"/>
      <c r="B1322" s="518" t="s">
        <v>34</v>
      </c>
      <c r="C1322" s="519"/>
      <c r="D1322" s="62" t="s">
        <v>43</v>
      </c>
      <c r="E1322" s="74" t="s">
        <v>44</v>
      </c>
      <c r="F1322" s="74" t="s">
        <v>45</v>
      </c>
      <c r="G1322" s="74" t="s">
        <v>38</v>
      </c>
      <c r="H1322" s="73"/>
    </row>
    <row r="1323" spans="1:8" ht="19.149999999999999" customHeight="1" x14ac:dyDescent="0.3">
      <c r="A1323" s="63"/>
      <c r="B1323" s="554" t="s">
        <v>391</v>
      </c>
      <c r="C1323" s="555"/>
      <c r="D1323" s="93" t="s">
        <v>212</v>
      </c>
      <c r="E1323" s="94">
        <v>1</v>
      </c>
      <c r="F1323" s="272">
        <v>250000</v>
      </c>
      <c r="G1323" s="120">
        <f>+E1323*F1323</f>
        <v>250000</v>
      </c>
      <c r="H1323" s="73"/>
    </row>
    <row r="1324" spans="1:8" ht="17.2" customHeight="1" x14ac:dyDescent="0.3">
      <c r="A1324" s="63"/>
      <c r="B1324" s="554" t="s">
        <v>392</v>
      </c>
      <c r="C1324" s="555"/>
      <c r="D1324" s="93" t="s">
        <v>197</v>
      </c>
      <c r="E1324" s="94">
        <v>2.7</v>
      </c>
      <c r="F1324" s="272">
        <v>2600</v>
      </c>
      <c r="G1324" s="120">
        <f>+E1324*F1324</f>
        <v>7020.0000000000009</v>
      </c>
      <c r="H1324" s="73"/>
    </row>
    <row r="1325" spans="1:8" ht="17.2" customHeight="1" x14ac:dyDescent="0.3">
      <c r="A1325" s="63" t="s">
        <v>46</v>
      </c>
      <c r="B1325" s="554" t="s">
        <v>393</v>
      </c>
      <c r="C1325" s="555"/>
      <c r="D1325" s="93" t="s">
        <v>212</v>
      </c>
      <c r="E1325" s="94">
        <v>1</v>
      </c>
      <c r="F1325" s="272">
        <v>29600</v>
      </c>
      <c r="G1325" s="120">
        <f>+E1325*F1325</f>
        <v>29600</v>
      </c>
      <c r="H1325" s="73"/>
    </row>
    <row r="1326" spans="1:8" ht="17.2" customHeight="1" x14ac:dyDescent="0.3">
      <c r="A1326" s="63"/>
      <c r="B1326" s="546"/>
      <c r="C1326" s="547"/>
      <c r="D1326" s="270"/>
      <c r="E1326" s="270"/>
      <c r="F1326" s="95"/>
      <c r="G1326" s="67"/>
      <c r="H1326" s="73"/>
    </row>
    <row r="1327" spans="1:8" ht="17.2" customHeight="1" x14ac:dyDescent="0.3">
      <c r="A1327" s="70" t="s">
        <v>46</v>
      </c>
      <c r="E1327" s="71" t="s">
        <v>47</v>
      </c>
      <c r="F1327" s="71"/>
      <c r="G1327" s="71"/>
      <c r="H1327" s="76">
        <f>ROUND(SUM(G1323:G1326),2)</f>
        <v>286620</v>
      </c>
    </row>
    <row r="1328" spans="1:8" ht="17.2" customHeight="1" x14ac:dyDescent="0.3">
      <c r="A1328" s="61" t="s">
        <v>48</v>
      </c>
      <c r="B1328" s="525" t="s">
        <v>49</v>
      </c>
      <c r="C1328" s="526"/>
      <c r="D1328" s="526"/>
      <c r="E1328" s="526"/>
      <c r="F1328" s="526"/>
      <c r="G1328" s="527"/>
      <c r="H1328" s="73"/>
    </row>
    <row r="1329" spans="1:8" ht="17.2" customHeight="1" x14ac:dyDescent="0.3">
      <c r="A1329" s="62" t="s">
        <v>50</v>
      </c>
      <c r="B1329" s="62" t="s">
        <v>34</v>
      </c>
      <c r="C1329" s="62" t="s">
        <v>51</v>
      </c>
      <c r="D1329" s="62" t="s">
        <v>52</v>
      </c>
      <c r="E1329" s="74" t="s">
        <v>53</v>
      </c>
      <c r="F1329" s="64" t="s">
        <v>260</v>
      </c>
      <c r="G1329" s="64" t="s">
        <v>38</v>
      </c>
      <c r="H1329" s="73"/>
    </row>
    <row r="1330" spans="1:8" ht="17.2" customHeight="1" x14ac:dyDescent="0.3">
      <c r="A1330" s="62">
        <v>1</v>
      </c>
      <c r="B1330" s="63" t="s">
        <v>79</v>
      </c>
      <c r="C1330" s="77">
        <v>120000</v>
      </c>
      <c r="D1330" s="78">
        <v>0.75</v>
      </c>
      <c r="E1330" s="79">
        <f>+(A1330*C1330)+(A1330*C1330*D1330)</f>
        <v>210000</v>
      </c>
      <c r="F1330" s="75">
        <v>15</v>
      </c>
      <c r="G1330" s="65">
        <f>ROUND(E1330/(F1330),2)</f>
        <v>14000</v>
      </c>
      <c r="H1330" s="73"/>
    </row>
    <row r="1331" spans="1:8" ht="17.2" customHeight="1" x14ac:dyDescent="0.3">
      <c r="A1331" s="62">
        <v>1</v>
      </c>
      <c r="B1331" s="63" t="s">
        <v>80</v>
      </c>
      <c r="C1331" s="77">
        <v>70000</v>
      </c>
      <c r="D1331" s="78">
        <v>0.75</v>
      </c>
      <c r="E1331" s="79">
        <f>+(A1331*C1331)+(A1331*C1331*D1331)</f>
        <v>122500</v>
      </c>
      <c r="F1331" s="75">
        <v>15</v>
      </c>
      <c r="G1331" s="65">
        <f>ROUND(E1331/(F1331),2)</f>
        <v>8166.67</v>
      </c>
      <c r="H1331" s="73"/>
    </row>
    <row r="1332" spans="1:8" ht="17.2" customHeight="1" x14ac:dyDescent="0.3">
      <c r="A1332" s="63"/>
      <c r="B1332" s="63"/>
      <c r="C1332" s="63"/>
      <c r="D1332" s="63"/>
      <c r="E1332" s="64"/>
      <c r="F1332" s="64"/>
      <c r="G1332" s="64"/>
      <c r="H1332" s="73"/>
    </row>
    <row r="1333" spans="1:8" ht="17.2" customHeight="1" x14ac:dyDescent="0.3">
      <c r="A1333" s="70"/>
      <c r="E1333" s="71" t="s">
        <v>54</v>
      </c>
      <c r="F1333" s="71"/>
      <c r="G1333" s="71"/>
      <c r="H1333" s="72">
        <f>ROUND(SUM(G1330)+(G1331),2)</f>
        <v>22166.67</v>
      </c>
    </row>
    <row r="1334" spans="1:8" ht="17.2" customHeight="1" x14ac:dyDescent="0.3">
      <c r="A1334" s="61" t="s">
        <v>55</v>
      </c>
      <c r="B1334" s="525" t="s">
        <v>56</v>
      </c>
      <c r="C1334" s="526"/>
      <c r="D1334" s="526"/>
      <c r="E1334" s="526"/>
      <c r="F1334" s="526"/>
      <c r="G1334" s="527"/>
      <c r="H1334" s="73"/>
    </row>
    <row r="1335" spans="1:8" ht="17.2" customHeight="1" x14ac:dyDescent="0.3">
      <c r="A1335" s="63"/>
      <c r="B1335" s="63" t="s">
        <v>34</v>
      </c>
      <c r="C1335" s="62" t="s">
        <v>43</v>
      </c>
      <c r="D1335" s="62" t="s">
        <v>57</v>
      </c>
      <c r="E1335" s="62" t="s">
        <v>58</v>
      </c>
      <c r="F1335" s="62"/>
      <c r="G1335" s="64" t="s">
        <v>59</v>
      </c>
      <c r="H1335" s="73"/>
    </row>
    <row r="1336" spans="1:8" ht="17.2" customHeight="1" x14ac:dyDescent="0.3">
      <c r="A1336" s="63"/>
      <c r="B1336" s="63" t="s">
        <v>82</v>
      </c>
      <c r="C1336" s="80" t="s">
        <v>83</v>
      </c>
      <c r="D1336" s="63">
        <v>5.0000000000000001E-3</v>
      </c>
      <c r="E1336" s="64">
        <v>50000</v>
      </c>
      <c r="F1336" s="64"/>
      <c r="G1336" s="64">
        <f>D1336*E1336</f>
        <v>250</v>
      </c>
      <c r="H1336" s="73"/>
    </row>
    <row r="1337" spans="1:8" ht="17.2" customHeight="1" x14ac:dyDescent="0.3">
      <c r="A1337" s="63"/>
      <c r="B1337" s="63"/>
      <c r="C1337" s="81"/>
      <c r="D1337" s="63"/>
      <c r="E1337" s="64"/>
      <c r="F1337" s="64"/>
      <c r="G1337" s="64"/>
      <c r="H1337" s="73"/>
    </row>
    <row r="1338" spans="1:8" ht="17.2" customHeight="1" x14ac:dyDescent="0.3">
      <c r="A1338" s="63"/>
      <c r="B1338" s="63"/>
      <c r="C1338" s="63"/>
      <c r="D1338" s="63"/>
      <c r="E1338" s="64"/>
      <c r="F1338" s="64"/>
      <c r="G1338" s="64"/>
      <c r="H1338" s="73"/>
    </row>
    <row r="1339" spans="1:8" ht="17.2" customHeight="1" x14ac:dyDescent="0.3">
      <c r="A1339" s="70"/>
      <c r="E1339" s="71" t="s">
        <v>54</v>
      </c>
      <c r="F1339" s="71"/>
      <c r="G1339" s="71"/>
      <c r="H1339" s="119">
        <f>ROUND(SUM(G1336)+(G1337),0)</f>
        <v>250</v>
      </c>
    </row>
    <row r="1340" spans="1:8" ht="17.2" customHeight="1" x14ac:dyDescent="0.3">
      <c r="A1340" s="59"/>
      <c r="E1340" s="71"/>
      <c r="F1340" s="71"/>
      <c r="G1340" s="71"/>
      <c r="H1340" s="73"/>
    </row>
    <row r="1341" spans="1:8" ht="17.2" customHeight="1" x14ac:dyDescent="0.3">
      <c r="A1341" s="59"/>
      <c r="D1341" s="82" t="s">
        <v>60</v>
      </c>
      <c r="E1341" s="83"/>
      <c r="F1341" s="83"/>
      <c r="G1341" s="83"/>
      <c r="H1341" s="72">
        <f>ROUND(SUM(H1320:H1340),2)</f>
        <v>311253.34000000003</v>
      </c>
    </row>
    <row r="1342" spans="1:8" ht="17.2" customHeight="1" x14ac:dyDescent="0.3">
      <c r="A1342" s="59"/>
      <c r="E1342" s="71"/>
      <c r="F1342" s="71"/>
      <c r="G1342" s="71"/>
      <c r="H1342" s="73"/>
    </row>
    <row r="1343" spans="1:8" ht="17.2" customHeight="1" x14ac:dyDescent="0.3">
      <c r="A1343" s="61" t="s">
        <v>61</v>
      </c>
      <c r="B1343" s="525" t="s">
        <v>62</v>
      </c>
      <c r="C1343" s="526"/>
      <c r="D1343" s="526"/>
      <c r="E1343" s="526"/>
      <c r="F1343" s="526"/>
      <c r="G1343" s="527"/>
      <c r="H1343" s="73"/>
    </row>
    <row r="1344" spans="1:8" ht="17.2" customHeight="1" x14ac:dyDescent="0.3">
      <c r="A1344" s="62"/>
      <c r="B1344" s="518" t="s">
        <v>34</v>
      </c>
      <c r="C1344" s="519"/>
      <c r="D1344" s="518" t="s">
        <v>63</v>
      </c>
      <c r="E1344" s="519"/>
      <c r="F1344" s="528" t="s">
        <v>64</v>
      </c>
      <c r="G1344" s="529"/>
      <c r="H1344" s="73"/>
    </row>
    <row r="1345" spans="1:8" ht="17.2" customHeight="1" x14ac:dyDescent="0.3">
      <c r="A1345" s="63"/>
      <c r="B1345" s="518" t="s">
        <v>20</v>
      </c>
      <c r="C1345" s="519"/>
      <c r="D1345" s="520">
        <v>0.28000000000000003</v>
      </c>
      <c r="E1345" s="519"/>
      <c r="F1345" s="521">
        <f>+H1341*D1345</f>
        <v>87150.935200000022</v>
      </c>
      <c r="G1345" s="522"/>
      <c r="H1345" s="73"/>
    </row>
    <row r="1346" spans="1:8" ht="17.2" customHeight="1" x14ac:dyDescent="0.3">
      <c r="A1346" s="63"/>
      <c r="B1346" s="518" t="s">
        <v>21</v>
      </c>
      <c r="C1346" s="519"/>
      <c r="D1346" s="520">
        <v>0.01</v>
      </c>
      <c r="E1346" s="519"/>
      <c r="F1346" s="521">
        <f>+H1341*D1346</f>
        <v>3112.5334000000003</v>
      </c>
      <c r="G1346" s="522"/>
      <c r="H1346" s="73"/>
    </row>
    <row r="1347" spans="1:8" ht="17.2" customHeight="1" x14ac:dyDescent="0.3">
      <c r="A1347" s="63"/>
      <c r="B1347" s="518" t="s">
        <v>22</v>
      </c>
      <c r="C1347" s="519"/>
      <c r="D1347" s="520">
        <v>0.03</v>
      </c>
      <c r="E1347" s="519"/>
      <c r="F1347" s="521">
        <f>+H1341*D1347</f>
        <v>9337.6002000000008</v>
      </c>
      <c r="G1347" s="522"/>
      <c r="H1347" s="73"/>
    </row>
    <row r="1348" spans="1:8" ht="17.2" customHeight="1" x14ac:dyDescent="0.3">
      <c r="A1348" s="63"/>
      <c r="B1348" s="518" t="s">
        <v>188</v>
      </c>
      <c r="C1348" s="519"/>
      <c r="D1348" s="520">
        <v>0.19</v>
      </c>
      <c r="E1348" s="519"/>
      <c r="F1348" s="521">
        <f>D1348*F1347</f>
        <v>1774.1440380000001</v>
      </c>
      <c r="G1348" s="522"/>
      <c r="H1348" s="73"/>
    </row>
    <row r="1349" spans="1:8" ht="17.2" customHeight="1" x14ac:dyDescent="0.3">
      <c r="A1349" s="59"/>
      <c r="D1349" s="82" t="s">
        <v>65</v>
      </c>
      <c r="E1349" s="83"/>
      <c r="F1349" s="83"/>
      <c r="G1349" s="83"/>
      <c r="H1349" s="72">
        <f>SUM(F1345:G1348)</f>
        <v>101375.21283800002</v>
      </c>
    </row>
    <row r="1350" spans="1:8" ht="17.2" customHeight="1" x14ac:dyDescent="0.3">
      <c r="A1350" s="59"/>
      <c r="E1350" s="71"/>
      <c r="F1350" s="71"/>
      <c r="G1350" s="71"/>
      <c r="H1350" s="73"/>
    </row>
    <row r="1351" spans="1:8" ht="17.2" customHeight="1" x14ac:dyDescent="0.3">
      <c r="A1351" s="59"/>
      <c r="D1351" s="82" t="s">
        <v>66</v>
      </c>
      <c r="E1351" s="83"/>
      <c r="F1351" s="83"/>
      <c r="G1351" s="71"/>
      <c r="H1351" s="72">
        <f>H1341+H1349</f>
        <v>412628.55283800006</v>
      </c>
    </row>
    <row r="1352" spans="1:8" ht="17.2" customHeight="1" x14ac:dyDescent="0.3">
      <c r="A1352" s="59"/>
      <c r="D1352" s="82"/>
      <c r="E1352" s="83"/>
      <c r="F1352" s="83"/>
      <c r="G1352" s="71"/>
      <c r="H1352" s="73"/>
    </row>
    <row r="1353" spans="1:8" ht="17.2" customHeight="1" x14ac:dyDescent="0.3">
      <c r="A1353" s="59"/>
      <c r="E1353" s="83"/>
      <c r="F1353" s="83"/>
      <c r="G1353" s="71"/>
      <c r="H1353" s="73"/>
    </row>
    <row r="1354" spans="1:8" ht="17.2" customHeight="1" x14ac:dyDescent="0.3">
      <c r="A1354" s="84"/>
      <c r="B1354" s="85"/>
      <c r="E1354" s="46"/>
      <c r="F1354" s="47"/>
      <c r="G1354" s="48"/>
      <c r="H1354" s="73"/>
    </row>
    <row r="1355" spans="1:8" ht="17.2" customHeight="1" x14ac:dyDescent="0.3">
      <c r="A1355" s="86" t="s">
        <v>67</v>
      </c>
      <c r="B1355" s="50" t="s">
        <v>68</v>
      </c>
      <c r="E1355" s="49" t="s">
        <v>27</v>
      </c>
      <c r="F1355" s="50"/>
      <c r="G1355" s="50"/>
      <c r="H1355" s="87"/>
    </row>
    <row r="1356" spans="1:8" ht="17.2" customHeight="1" x14ac:dyDescent="0.3">
      <c r="A1356" s="88" t="s">
        <v>28</v>
      </c>
      <c r="B1356" s="50"/>
      <c r="E1356" s="50" t="str">
        <f ca="1">+$E$52</f>
        <v>SECRETARIO DE PLANEACION Y OBRAS PUBLICAS</v>
      </c>
      <c r="F1356" s="50"/>
      <c r="G1356" s="50"/>
      <c r="H1356" s="87"/>
    </row>
    <row r="1357" spans="1:8" ht="17.2" customHeight="1" x14ac:dyDescent="0.3">
      <c r="A1357" s="88"/>
      <c r="B1357" s="50"/>
      <c r="E1357" s="50" t="str">
        <f ca="1">+$E$53</f>
        <v>SAN MIGUEL - PUTUMAYO</v>
      </c>
      <c r="F1357" s="50"/>
      <c r="G1357" s="50"/>
      <c r="H1357" s="87"/>
    </row>
    <row r="1358" spans="1:8" ht="17.2" customHeight="1" x14ac:dyDescent="0.3">
      <c r="A1358" s="50"/>
      <c r="B1358" s="50"/>
      <c r="E1358" s="50"/>
      <c r="F1358" s="50"/>
      <c r="G1358" s="50"/>
      <c r="H1358" s="50"/>
    </row>
    <row r="1359" spans="1:8" ht="17.2" customHeight="1" x14ac:dyDescent="0.3">
      <c r="A1359" s="556"/>
      <c r="B1359" s="557"/>
      <c r="C1359" s="380" t="s">
        <v>2</v>
      </c>
      <c r="D1359" s="382" t="s">
        <v>3</v>
      </c>
      <c r="E1359" s="383"/>
      <c r="F1359" s="1">
        <v>103</v>
      </c>
      <c r="G1359" s="548"/>
      <c r="H1359" s="549"/>
    </row>
    <row r="1360" spans="1:8" ht="17.2" customHeight="1" x14ac:dyDescent="0.3">
      <c r="A1360" s="558"/>
      <c r="B1360" s="559"/>
      <c r="C1360" s="381"/>
      <c r="D1360" s="396" t="s">
        <v>4</v>
      </c>
      <c r="E1360" s="397"/>
      <c r="F1360" s="400">
        <v>51</v>
      </c>
      <c r="G1360" s="550"/>
      <c r="H1360" s="551"/>
    </row>
    <row r="1361" spans="1:8" ht="17.2" customHeight="1" x14ac:dyDescent="0.3">
      <c r="A1361" s="558"/>
      <c r="B1361" s="559"/>
      <c r="C1361" s="5" t="s">
        <v>5</v>
      </c>
      <c r="D1361" s="398"/>
      <c r="E1361" s="399"/>
      <c r="F1361" s="401"/>
      <c r="G1361" s="550"/>
      <c r="H1361" s="551"/>
    </row>
    <row r="1362" spans="1:8" ht="23.25" customHeight="1" x14ac:dyDescent="0.3">
      <c r="A1362" s="558"/>
      <c r="B1362" s="559"/>
      <c r="C1362" s="55" t="s">
        <v>6</v>
      </c>
      <c r="D1362" s="402" t="s">
        <v>7</v>
      </c>
      <c r="E1362" s="403"/>
      <c r="F1362" s="7">
        <v>1</v>
      </c>
      <c r="G1362" s="550"/>
      <c r="H1362" s="551"/>
    </row>
    <row r="1363" spans="1:8" ht="17.2" customHeight="1" x14ac:dyDescent="0.3">
      <c r="A1363" s="558"/>
      <c r="B1363" s="559"/>
      <c r="C1363" s="530" t="s">
        <v>8</v>
      </c>
      <c r="D1363" s="532" t="s">
        <v>9</v>
      </c>
      <c r="E1363" s="533"/>
      <c r="F1363" s="5" t="s">
        <v>10</v>
      </c>
      <c r="G1363" s="550"/>
      <c r="H1363" s="551"/>
    </row>
    <row r="1364" spans="1:8" ht="17.2" customHeight="1" x14ac:dyDescent="0.3">
      <c r="A1364" s="560"/>
      <c r="B1364" s="561"/>
      <c r="C1364" s="531"/>
      <c r="D1364" s="534"/>
      <c r="E1364" s="535"/>
      <c r="F1364" s="8">
        <f>$F$6</f>
        <v>45402</v>
      </c>
      <c r="G1364" s="552"/>
      <c r="H1364" s="553"/>
    </row>
    <row r="1365" spans="1:8" ht="17.2" customHeight="1" thickBot="1" x14ac:dyDescent="0.35">
      <c r="A1365" s="536"/>
      <c r="B1365" s="537"/>
      <c r="C1365" s="537"/>
      <c r="D1365" s="537"/>
      <c r="E1365" s="537"/>
      <c r="F1365" s="537"/>
      <c r="G1365" s="537"/>
      <c r="H1365" s="538"/>
    </row>
    <row r="1366" spans="1:8" ht="31.6" customHeight="1" thickBot="1" x14ac:dyDescent="0.35">
      <c r="A1366" s="275">
        <v>4.1100000000000003</v>
      </c>
      <c r="B1366" s="539" t="str">
        <f>PRESUPUESTO!B47</f>
        <v>Suministro e instalación de unidad sanitaria tipo PMR (personas con movilidad reducida) línea económica</v>
      </c>
      <c r="C1366" s="540"/>
      <c r="D1366" s="540"/>
      <c r="E1366" s="540"/>
      <c r="F1366" s="541"/>
      <c r="G1366" s="57" t="s">
        <v>31</v>
      </c>
      <c r="H1366" s="58" t="str">
        <f>VLOOKUP(A1366,PRESUPUESTO!$A$14:$G$71,4,)</f>
        <v>UND</v>
      </c>
    </row>
    <row r="1367" spans="1:8" ht="17.2" customHeight="1" x14ac:dyDescent="0.3">
      <c r="A1367" s="59"/>
      <c r="H1367" s="60"/>
    </row>
    <row r="1368" spans="1:8" ht="17.2" customHeight="1" x14ac:dyDescent="0.3">
      <c r="A1368" s="61" t="s">
        <v>32</v>
      </c>
      <c r="B1368" s="525" t="s">
        <v>33</v>
      </c>
      <c r="C1368" s="526"/>
      <c r="D1368" s="526"/>
      <c r="E1368" s="526"/>
      <c r="F1368" s="526"/>
      <c r="G1368" s="527"/>
      <c r="H1368" s="60"/>
    </row>
    <row r="1369" spans="1:8" ht="17.2" customHeight="1" x14ac:dyDescent="0.3">
      <c r="A1369" s="62"/>
      <c r="B1369" s="518" t="s">
        <v>34</v>
      </c>
      <c r="C1369" s="519"/>
      <c r="D1369" s="62" t="s">
        <v>35</v>
      </c>
      <c r="E1369" s="62" t="s">
        <v>69</v>
      </c>
      <c r="F1369" s="62" t="s">
        <v>70</v>
      </c>
      <c r="G1369" s="62" t="s">
        <v>38</v>
      </c>
      <c r="H1369" s="60"/>
    </row>
    <row r="1370" spans="1:8" ht="17.2" customHeight="1" x14ac:dyDescent="0.3">
      <c r="A1370" s="63"/>
      <c r="B1370" s="542" t="s">
        <v>39</v>
      </c>
      <c r="C1370" s="543"/>
      <c r="D1370" s="63"/>
      <c r="E1370" s="64"/>
      <c r="F1370" s="64">
        <v>0.1</v>
      </c>
      <c r="G1370" s="65">
        <f>ROUND(H1385*F1370,2)</f>
        <v>5541.67</v>
      </c>
      <c r="H1370" s="66"/>
    </row>
    <row r="1371" spans="1:8" ht="17.2" customHeight="1" x14ac:dyDescent="0.3">
      <c r="A1371" s="63"/>
      <c r="B1371" s="542"/>
      <c r="C1371" s="543"/>
      <c r="D1371" s="62"/>
      <c r="E1371" s="68"/>
      <c r="F1371" s="64"/>
      <c r="G1371" s="69"/>
      <c r="H1371" s="66"/>
    </row>
    <row r="1372" spans="1:8" ht="17.2" customHeight="1" x14ac:dyDescent="0.3">
      <c r="A1372" s="70"/>
      <c r="E1372" s="71" t="s">
        <v>40</v>
      </c>
      <c r="F1372" s="71"/>
      <c r="G1372" s="71"/>
      <c r="H1372" s="72">
        <f>ROUND(SUM(G1370:G1371),2)</f>
        <v>5541.67</v>
      </c>
    </row>
    <row r="1373" spans="1:8" ht="17.2" customHeight="1" x14ac:dyDescent="0.3">
      <c r="A1373" s="61" t="s">
        <v>41</v>
      </c>
      <c r="B1373" s="525" t="s">
        <v>42</v>
      </c>
      <c r="C1373" s="526"/>
      <c r="D1373" s="526"/>
      <c r="E1373" s="526"/>
      <c r="F1373" s="526"/>
      <c r="G1373" s="527"/>
      <c r="H1373" s="73"/>
    </row>
    <row r="1374" spans="1:8" ht="17.2" customHeight="1" x14ac:dyDescent="0.3">
      <c r="A1374" s="62"/>
      <c r="B1374" s="518" t="s">
        <v>34</v>
      </c>
      <c r="C1374" s="519"/>
      <c r="D1374" s="62" t="s">
        <v>43</v>
      </c>
      <c r="E1374" s="74" t="s">
        <v>44</v>
      </c>
      <c r="F1374" s="74" t="s">
        <v>45</v>
      </c>
      <c r="G1374" s="74" t="s">
        <v>38</v>
      </c>
      <c r="H1374" s="73"/>
    </row>
    <row r="1375" spans="1:8" ht="19.149999999999999" customHeight="1" x14ac:dyDescent="0.3">
      <c r="A1375" s="63"/>
      <c r="B1375" s="542" t="s">
        <v>443</v>
      </c>
      <c r="C1375" s="543"/>
      <c r="D1375" s="62" t="s">
        <v>218</v>
      </c>
      <c r="E1375" s="74">
        <v>1</v>
      </c>
      <c r="F1375" s="280">
        <v>409000</v>
      </c>
      <c r="G1375" s="280">
        <f>E1375*F1375</f>
        <v>409000</v>
      </c>
      <c r="H1375" s="73"/>
    </row>
    <row r="1376" spans="1:8" ht="17.2" customHeight="1" x14ac:dyDescent="0.3">
      <c r="A1376" s="63"/>
      <c r="B1376" s="523" t="s">
        <v>444</v>
      </c>
      <c r="C1376" s="524"/>
      <c r="D1376" s="62" t="s">
        <v>218</v>
      </c>
      <c r="E1376" s="94">
        <v>1</v>
      </c>
      <c r="F1376" s="272">
        <v>350000</v>
      </c>
      <c r="G1376" s="280">
        <f t="shared" ref="G1376:G1377" si="14">E1376*F1376</f>
        <v>350000</v>
      </c>
      <c r="H1376" s="73"/>
    </row>
    <row r="1377" spans="1:8" ht="17.2" customHeight="1" x14ac:dyDescent="0.3">
      <c r="A1377" s="63"/>
      <c r="B1377" s="523" t="s">
        <v>445</v>
      </c>
      <c r="C1377" s="524"/>
      <c r="D1377" s="62" t="s">
        <v>218</v>
      </c>
      <c r="E1377" s="94">
        <v>1</v>
      </c>
      <c r="F1377" s="95">
        <v>180000</v>
      </c>
      <c r="G1377" s="280">
        <f t="shared" si="14"/>
        <v>180000</v>
      </c>
      <c r="H1377" s="73"/>
    </row>
    <row r="1378" spans="1:8" ht="17.2" customHeight="1" x14ac:dyDescent="0.3">
      <c r="A1378" s="63"/>
      <c r="B1378" s="546"/>
      <c r="C1378" s="547"/>
      <c r="D1378" s="270"/>
      <c r="E1378" s="270"/>
      <c r="F1378" s="95"/>
      <c r="G1378" s="67"/>
      <c r="H1378" s="73"/>
    </row>
    <row r="1379" spans="1:8" ht="17.2" customHeight="1" x14ac:dyDescent="0.3">
      <c r="A1379" s="70" t="s">
        <v>46</v>
      </c>
      <c r="E1379" s="71" t="s">
        <v>47</v>
      </c>
      <c r="F1379" s="71"/>
      <c r="G1379" s="71"/>
      <c r="H1379" s="76">
        <f>ROUND(SUM(G1375:G1378),2)</f>
        <v>939000</v>
      </c>
    </row>
    <row r="1380" spans="1:8" ht="17.2" customHeight="1" x14ac:dyDescent="0.3">
      <c r="A1380" s="61" t="s">
        <v>48</v>
      </c>
      <c r="B1380" s="525" t="s">
        <v>49</v>
      </c>
      <c r="C1380" s="526"/>
      <c r="D1380" s="526"/>
      <c r="E1380" s="526"/>
      <c r="F1380" s="526"/>
      <c r="G1380" s="527"/>
      <c r="H1380" s="73"/>
    </row>
    <row r="1381" spans="1:8" ht="17.2" customHeight="1" x14ac:dyDescent="0.3">
      <c r="A1381" s="62" t="s">
        <v>50</v>
      </c>
      <c r="B1381" s="62" t="s">
        <v>34</v>
      </c>
      <c r="C1381" s="62" t="s">
        <v>51</v>
      </c>
      <c r="D1381" s="62" t="s">
        <v>52</v>
      </c>
      <c r="E1381" s="74" t="s">
        <v>53</v>
      </c>
      <c r="F1381" s="64" t="s">
        <v>260</v>
      </c>
      <c r="G1381" s="64" t="s">
        <v>38</v>
      </c>
      <c r="H1381" s="73"/>
    </row>
    <row r="1382" spans="1:8" ht="17.2" customHeight="1" x14ac:dyDescent="0.3">
      <c r="A1382" s="62">
        <v>1</v>
      </c>
      <c r="B1382" s="63" t="s">
        <v>79</v>
      </c>
      <c r="C1382" s="77">
        <v>120000</v>
      </c>
      <c r="D1382" s="78">
        <v>0.75</v>
      </c>
      <c r="E1382" s="79">
        <f>+(A1382*C1382)+(A1382*C1382*D1382)</f>
        <v>210000</v>
      </c>
      <c r="F1382" s="75">
        <v>6</v>
      </c>
      <c r="G1382" s="65">
        <f>ROUND(E1382/(F1382),2)</f>
        <v>35000</v>
      </c>
      <c r="H1382" s="73"/>
    </row>
    <row r="1383" spans="1:8" ht="17.2" customHeight="1" x14ac:dyDescent="0.3">
      <c r="A1383" s="62">
        <v>1</v>
      </c>
      <c r="B1383" s="63" t="s">
        <v>80</v>
      </c>
      <c r="C1383" s="77">
        <v>70000</v>
      </c>
      <c r="D1383" s="78">
        <v>0.75</v>
      </c>
      <c r="E1383" s="79">
        <f>+(A1383*C1383)+(A1383*C1383*D1383)</f>
        <v>122500</v>
      </c>
      <c r="F1383" s="75">
        <v>6</v>
      </c>
      <c r="G1383" s="65">
        <f>ROUND(E1383/(F1383),2)</f>
        <v>20416.669999999998</v>
      </c>
      <c r="H1383" s="73"/>
    </row>
    <row r="1384" spans="1:8" ht="17.2" customHeight="1" x14ac:dyDescent="0.3">
      <c r="A1384" s="63"/>
      <c r="B1384" s="63"/>
      <c r="C1384" s="63"/>
      <c r="D1384" s="63"/>
      <c r="E1384" s="64"/>
      <c r="F1384" s="64"/>
      <c r="G1384" s="64"/>
      <c r="H1384" s="73"/>
    </row>
    <row r="1385" spans="1:8" ht="17.2" customHeight="1" x14ac:dyDescent="0.3">
      <c r="A1385" s="70"/>
      <c r="E1385" s="71" t="s">
        <v>54</v>
      </c>
      <c r="F1385" s="71"/>
      <c r="G1385" s="71"/>
      <c r="H1385" s="72">
        <f>ROUND(SUM(G1382)+(G1383),2)</f>
        <v>55416.67</v>
      </c>
    </row>
    <row r="1386" spans="1:8" ht="17.2" customHeight="1" x14ac:dyDescent="0.3">
      <c r="A1386" s="61" t="s">
        <v>55</v>
      </c>
      <c r="B1386" s="525" t="s">
        <v>56</v>
      </c>
      <c r="C1386" s="526"/>
      <c r="D1386" s="526"/>
      <c r="E1386" s="526"/>
      <c r="F1386" s="526"/>
      <c r="G1386" s="527"/>
      <c r="H1386" s="73"/>
    </row>
    <row r="1387" spans="1:8" ht="17.2" customHeight="1" x14ac:dyDescent="0.3">
      <c r="A1387" s="63"/>
      <c r="B1387" s="63" t="s">
        <v>34</v>
      </c>
      <c r="C1387" s="62" t="s">
        <v>43</v>
      </c>
      <c r="D1387" s="62" t="s">
        <v>57</v>
      </c>
      <c r="E1387" s="62" t="s">
        <v>58</v>
      </c>
      <c r="F1387" s="62"/>
      <c r="G1387" s="64" t="s">
        <v>59</v>
      </c>
      <c r="H1387" s="73"/>
    </row>
    <row r="1388" spans="1:8" ht="17.2" customHeight="1" x14ac:dyDescent="0.3">
      <c r="A1388" s="63"/>
      <c r="B1388" s="63" t="s">
        <v>82</v>
      </c>
      <c r="C1388" s="80" t="s">
        <v>83</v>
      </c>
      <c r="D1388" s="63">
        <v>5.0000000000000001E-3</v>
      </c>
      <c r="E1388" s="64">
        <v>50000</v>
      </c>
      <c r="F1388" s="64"/>
      <c r="G1388" s="64">
        <f>D1388*E1388</f>
        <v>250</v>
      </c>
      <c r="H1388" s="73"/>
    </row>
    <row r="1389" spans="1:8" ht="17.2" customHeight="1" x14ac:dyDescent="0.3">
      <c r="A1389" s="63"/>
      <c r="B1389" s="63"/>
      <c r="C1389" s="81"/>
      <c r="D1389" s="63"/>
      <c r="E1389" s="64"/>
      <c r="F1389" s="64"/>
      <c r="G1389" s="64"/>
      <c r="H1389" s="73"/>
    </row>
    <row r="1390" spans="1:8" ht="17.2" customHeight="1" x14ac:dyDescent="0.3">
      <c r="A1390" s="63"/>
      <c r="B1390" s="63"/>
      <c r="C1390" s="63"/>
      <c r="D1390" s="63"/>
      <c r="E1390" s="64"/>
      <c r="F1390" s="64"/>
      <c r="G1390" s="64"/>
      <c r="H1390" s="73"/>
    </row>
    <row r="1391" spans="1:8" ht="17.2" customHeight="1" x14ac:dyDescent="0.3">
      <c r="A1391" s="70"/>
      <c r="E1391" s="71" t="s">
        <v>54</v>
      </c>
      <c r="F1391" s="71"/>
      <c r="G1391" s="71"/>
      <c r="H1391" s="119">
        <f>ROUND(SUM(G1388)+(G1389),0)</f>
        <v>250</v>
      </c>
    </row>
    <row r="1392" spans="1:8" ht="17.2" customHeight="1" x14ac:dyDescent="0.3">
      <c r="A1392" s="59"/>
      <c r="E1392" s="71"/>
      <c r="F1392" s="71"/>
      <c r="G1392" s="71"/>
      <c r="H1392" s="73"/>
    </row>
    <row r="1393" spans="1:8" ht="17.2" customHeight="1" x14ac:dyDescent="0.3">
      <c r="A1393" s="59"/>
      <c r="D1393" s="82" t="s">
        <v>60</v>
      </c>
      <c r="E1393" s="83"/>
      <c r="F1393" s="83"/>
      <c r="G1393" s="83"/>
      <c r="H1393" s="72">
        <f>ROUND(SUM(H1372:H1392),2)</f>
        <v>1000208.34</v>
      </c>
    </row>
    <row r="1394" spans="1:8" ht="17.2" customHeight="1" x14ac:dyDescent="0.3">
      <c r="A1394" s="59"/>
      <c r="E1394" s="71"/>
      <c r="F1394" s="71"/>
      <c r="G1394" s="71"/>
      <c r="H1394" s="73"/>
    </row>
    <row r="1395" spans="1:8" ht="17.2" customHeight="1" x14ac:dyDescent="0.3">
      <c r="A1395" s="61" t="s">
        <v>61</v>
      </c>
      <c r="B1395" s="525" t="s">
        <v>62</v>
      </c>
      <c r="C1395" s="526"/>
      <c r="D1395" s="526"/>
      <c r="E1395" s="526"/>
      <c r="F1395" s="526"/>
      <c r="G1395" s="527"/>
      <c r="H1395" s="73"/>
    </row>
    <row r="1396" spans="1:8" ht="17.2" customHeight="1" x14ac:dyDescent="0.3">
      <c r="A1396" s="62"/>
      <c r="B1396" s="518" t="s">
        <v>34</v>
      </c>
      <c r="C1396" s="519"/>
      <c r="D1396" s="518" t="s">
        <v>63</v>
      </c>
      <c r="E1396" s="519"/>
      <c r="F1396" s="528" t="s">
        <v>64</v>
      </c>
      <c r="G1396" s="529"/>
      <c r="H1396" s="73"/>
    </row>
    <row r="1397" spans="1:8" ht="17.2" customHeight="1" x14ac:dyDescent="0.3">
      <c r="A1397" s="63"/>
      <c r="B1397" s="518" t="s">
        <v>20</v>
      </c>
      <c r="C1397" s="519"/>
      <c r="D1397" s="520">
        <v>0.28000000000000003</v>
      </c>
      <c r="E1397" s="519"/>
      <c r="F1397" s="521">
        <f>+H1393*D1397</f>
        <v>280058.33520000003</v>
      </c>
      <c r="G1397" s="522"/>
      <c r="H1397" s="73"/>
    </row>
    <row r="1398" spans="1:8" ht="17.2" customHeight="1" x14ac:dyDescent="0.3">
      <c r="A1398" s="63"/>
      <c r="B1398" s="518" t="s">
        <v>21</v>
      </c>
      <c r="C1398" s="519"/>
      <c r="D1398" s="520">
        <v>0.01</v>
      </c>
      <c r="E1398" s="519"/>
      <c r="F1398" s="521">
        <f>+H1393*D1398</f>
        <v>10002.0834</v>
      </c>
      <c r="G1398" s="522"/>
      <c r="H1398" s="73"/>
    </row>
    <row r="1399" spans="1:8" ht="17.2" customHeight="1" x14ac:dyDescent="0.3">
      <c r="A1399" s="63"/>
      <c r="B1399" s="518" t="s">
        <v>22</v>
      </c>
      <c r="C1399" s="519"/>
      <c r="D1399" s="520">
        <v>0.03</v>
      </c>
      <c r="E1399" s="519"/>
      <c r="F1399" s="521">
        <f>+H1393*D1399</f>
        <v>30006.250199999999</v>
      </c>
      <c r="G1399" s="522"/>
      <c r="H1399" s="73"/>
    </row>
    <row r="1400" spans="1:8" ht="17.2" customHeight="1" x14ac:dyDescent="0.3">
      <c r="A1400" s="63"/>
      <c r="B1400" s="518" t="s">
        <v>188</v>
      </c>
      <c r="C1400" s="519"/>
      <c r="D1400" s="520">
        <v>0.19</v>
      </c>
      <c r="E1400" s="519"/>
      <c r="F1400" s="521">
        <f>D1400*F1399</f>
        <v>5701.1875380000001</v>
      </c>
      <c r="G1400" s="522"/>
      <c r="H1400" s="73"/>
    </row>
    <row r="1401" spans="1:8" ht="17.2" customHeight="1" x14ac:dyDescent="0.3">
      <c r="A1401" s="59"/>
      <c r="D1401" s="82" t="s">
        <v>65</v>
      </c>
      <c r="E1401" s="83"/>
      <c r="F1401" s="83"/>
      <c r="G1401" s="83"/>
      <c r="H1401" s="72">
        <f>SUM(F1397:G1400)</f>
        <v>325767.85633800004</v>
      </c>
    </row>
    <row r="1402" spans="1:8" ht="17.2" customHeight="1" x14ac:dyDescent="0.3">
      <c r="A1402" s="59"/>
      <c r="E1402" s="71"/>
      <c r="F1402" s="71"/>
      <c r="G1402" s="71"/>
      <c r="H1402" s="73"/>
    </row>
    <row r="1403" spans="1:8" ht="17.2" customHeight="1" x14ac:dyDescent="0.3">
      <c r="A1403" s="59"/>
      <c r="D1403" s="82" t="s">
        <v>66</v>
      </c>
      <c r="E1403" s="83"/>
      <c r="F1403" s="83"/>
      <c r="G1403" s="71"/>
      <c r="H1403" s="72">
        <f>H1393+H1401</f>
        <v>1325976.196338</v>
      </c>
    </row>
    <row r="1404" spans="1:8" ht="17.2" customHeight="1" x14ac:dyDescent="0.3">
      <c r="A1404" s="59"/>
      <c r="D1404" s="82"/>
      <c r="E1404" s="83"/>
      <c r="F1404" s="83"/>
      <c r="G1404" s="71"/>
      <c r="H1404" s="73"/>
    </row>
    <row r="1405" spans="1:8" ht="17.2" customHeight="1" x14ac:dyDescent="0.3">
      <c r="A1405" s="59"/>
      <c r="E1405" s="83"/>
      <c r="F1405" s="83"/>
      <c r="G1405" s="71"/>
      <c r="H1405" s="73"/>
    </row>
    <row r="1406" spans="1:8" ht="17.2" customHeight="1" x14ac:dyDescent="0.3">
      <c r="A1406" s="84"/>
      <c r="B1406" s="85"/>
      <c r="E1406" s="46"/>
      <c r="F1406" s="47"/>
      <c r="G1406" s="48"/>
      <c r="H1406" s="73"/>
    </row>
    <row r="1407" spans="1:8" ht="17.2" customHeight="1" x14ac:dyDescent="0.3">
      <c r="A1407" s="86" t="s">
        <v>67</v>
      </c>
      <c r="B1407" s="50" t="s">
        <v>68</v>
      </c>
      <c r="E1407" s="49" t="s">
        <v>27</v>
      </c>
      <c r="F1407" s="50"/>
      <c r="G1407" s="50"/>
      <c r="H1407" s="87"/>
    </row>
    <row r="1408" spans="1:8" ht="17.2" customHeight="1" x14ac:dyDescent="0.3">
      <c r="A1408" s="88" t="s">
        <v>28</v>
      </c>
      <c r="B1408" s="50"/>
      <c r="E1408" s="50" t="str">
        <f ca="1">+$E$52</f>
        <v>SECRETARIO DE PLANEACION Y OBRAS PUBLICAS</v>
      </c>
      <c r="F1408" s="50"/>
      <c r="G1408" s="50"/>
      <c r="H1408" s="87"/>
    </row>
    <row r="1409" spans="1:8" ht="17.2" customHeight="1" x14ac:dyDescent="0.3">
      <c r="A1409" s="88"/>
      <c r="B1409" s="50"/>
      <c r="E1409" s="50" t="str">
        <f ca="1">+$E$53</f>
        <v>SAN MIGUEL - PUTUMAYO</v>
      </c>
      <c r="F1409" s="50"/>
      <c r="G1409" s="50"/>
      <c r="H1409" s="87"/>
    </row>
    <row r="1410" spans="1:8" ht="17.2" customHeight="1" x14ac:dyDescent="0.3">
      <c r="A1410" s="50"/>
      <c r="B1410" s="50"/>
      <c r="E1410" s="50"/>
      <c r="F1410" s="50"/>
      <c r="G1410" s="50"/>
      <c r="H1410" s="50"/>
    </row>
    <row r="1411" spans="1:8" ht="17.2" customHeight="1" x14ac:dyDescent="0.3">
      <c r="A1411" s="556"/>
      <c r="B1411" s="557"/>
      <c r="C1411" s="380" t="s">
        <v>2</v>
      </c>
      <c r="D1411" s="382" t="s">
        <v>3</v>
      </c>
      <c r="E1411" s="383"/>
      <c r="F1411" s="1">
        <v>103</v>
      </c>
      <c r="G1411" s="548"/>
      <c r="H1411" s="549"/>
    </row>
    <row r="1412" spans="1:8" ht="17.2" customHeight="1" x14ac:dyDescent="0.3">
      <c r="A1412" s="558"/>
      <c r="B1412" s="559"/>
      <c r="C1412" s="381"/>
      <c r="D1412" s="396" t="s">
        <v>4</v>
      </c>
      <c r="E1412" s="397"/>
      <c r="F1412" s="400">
        <v>51</v>
      </c>
      <c r="G1412" s="550"/>
      <c r="H1412" s="551"/>
    </row>
    <row r="1413" spans="1:8" ht="17.2" customHeight="1" x14ac:dyDescent="0.3">
      <c r="A1413" s="558"/>
      <c r="B1413" s="559"/>
      <c r="C1413" s="5" t="s">
        <v>5</v>
      </c>
      <c r="D1413" s="398"/>
      <c r="E1413" s="399"/>
      <c r="F1413" s="401"/>
      <c r="G1413" s="550"/>
      <c r="H1413" s="551"/>
    </row>
    <row r="1414" spans="1:8" ht="23.25" customHeight="1" x14ac:dyDescent="0.3">
      <c r="A1414" s="558"/>
      <c r="B1414" s="559"/>
      <c r="C1414" s="55" t="s">
        <v>6</v>
      </c>
      <c r="D1414" s="402" t="s">
        <v>7</v>
      </c>
      <c r="E1414" s="403"/>
      <c r="F1414" s="7">
        <v>1</v>
      </c>
      <c r="G1414" s="550"/>
      <c r="H1414" s="551"/>
    </row>
    <row r="1415" spans="1:8" ht="17.2" customHeight="1" x14ac:dyDescent="0.3">
      <c r="A1415" s="558"/>
      <c r="B1415" s="559"/>
      <c r="C1415" s="530" t="s">
        <v>8</v>
      </c>
      <c r="D1415" s="532" t="s">
        <v>9</v>
      </c>
      <c r="E1415" s="533"/>
      <c r="F1415" s="5" t="s">
        <v>10</v>
      </c>
      <c r="G1415" s="550"/>
      <c r="H1415" s="551"/>
    </row>
    <row r="1416" spans="1:8" ht="17.2" customHeight="1" x14ac:dyDescent="0.3">
      <c r="A1416" s="560"/>
      <c r="B1416" s="561"/>
      <c r="C1416" s="531"/>
      <c r="D1416" s="534"/>
      <c r="E1416" s="535"/>
      <c r="F1416" s="8">
        <f>$F$6</f>
        <v>45402</v>
      </c>
      <c r="G1416" s="552"/>
      <c r="H1416" s="553"/>
    </row>
    <row r="1417" spans="1:8" ht="17.2" customHeight="1" thickBot="1" x14ac:dyDescent="0.35">
      <c r="A1417" s="536"/>
      <c r="B1417" s="537"/>
      <c r="C1417" s="537"/>
      <c r="D1417" s="537"/>
      <c r="E1417" s="537"/>
      <c r="F1417" s="537"/>
      <c r="G1417" s="537"/>
      <c r="H1417" s="538"/>
    </row>
    <row r="1418" spans="1:8" ht="31.6" customHeight="1" thickBot="1" x14ac:dyDescent="0.35">
      <c r="A1418" s="275">
        <v>4.12</v>
      </c>
      <c r="B1418" s="539" t="str">
        <f>PRESUPUESTO!B48</f>
        <v>Sondeo de redes sanitarias</v>
      </c>
      <c r="C1418" s="540"/>
      <c r="D1418" s="540"/>
      <c r="E1418" s="540"/>
      <c r="F1418" s="541"/>
      <c r="G1418" s="57" t="s">
        <v>31</v>
      </c>
      <c r="H1418" s="58" t="str">
        <f>VLOOKUP(A1418,PRESUPUESTO!$A$14:$G$71,4,)</f>
        <v>ML</v>
      </c>
    </row>
    <row r="1419" spans="1:8" ht="17.2" customHeight="1" x14ac:dyDescent="0.3">
      <c r="A1419" s="59"/>
      <c r="H1419" s="60"/>
    </row>
    <row r="1420" spans="1:8" ht="17.2" customHeight="1" x14ac:dyDescent="0.3">
      <c r="A1420" s="61" t="s">
        <v>32</v>
      </c>
      <c r="B1420" s="525" t="s">
        <v>33</v>
      </c>
      <c r="C1420" s="526"/>
      <c r="D1420" s="526"/>
      <c r="E1420" s="526"/>
      <c r="F1420" s="526"/>
      <c r="G1420" s="527"/>
      <c r="H1420" s="60"/>
    </row>
    <row r="1421" spans="1:8" ht="17.2" customHeight="1" x14ac:dyDescent="0.3">
      <c r="A1421" s="62"/>
      <c r="B1421" s="518" t="s">
        <v>34</v>
      </c>
      <c r="C1421" s="519"/>
      <c r="D1421" s="62" t="s">
        <v>35</v>
      </c>
      <c r="E1421" s="62" t="s">
        <v>69</v>
      </c>
      <c r="F1421" s="62" t="s">
        <v>70</v>
      </c>
      <c r="G1421" s="62" t="s">
        <v>38</v>
      </c>
      <c r="H1421" s="60"/>
    </row>
    <row r="1422" spans="1:8" ht="17.2" customHeight="1" x14ac:dyDescent="0.3">
      <c r="A1422" s="63"/>
      <c r="B1422" s="542" t="s">
        <v>39</v>
      </c>
      <c r="C1422" s="543"/>
      <c r="D1422" s="63"/>
      <c r="E1422" s="64"/>
      <c r="F1422" s="64">
        <v>0.1</v>
      </c>
      <c r="G1422" s="65">
        <f>ROUND(H1436*F1422,2)</f>
        <v>665</v>
      </c>
      <c r="H1422" s="66"/>
    </row>
    <row r="1423" spans="1:8" ht="17.2" customHeight="1" x14ac:dyDescent="0.3">
      <c r="A1423" s="63"/>
      <c r="B1423" s="542"/>
      <c r="C1423" s="543"/>
      <c r="D1423" s="62"/>
      <c r="E1423" s="68"/>
      <c r="F1423" s="64"/>
      <c r="G1423" s="69"/>
      <c r="H1423" s="66"/>
    </row>
    <row r="1424" spans="1:8" ht="17.2" customHeight="1" x14ac:dyDescent="0.3">
      <c r="A1424" s="70"/>
      <c r="E1424" s="71" t="s">
        <v>40</v>
      </c>
      <c r="F1424" s="71"/>
      <c r="G1424" s="71"/>
      <c r="H1424" s="72">
        <f>ROUND(SUM(G1422:G1423),2)</f>
        <v>665</v>
      </c>
    </row>
    <row r="1425" spans="1:8" ht="17.2" customHeight="1" x14ac:dyDescent="0.3">
      <c r="A1425" s="61" t="s">
        <v>41</v>
      </c>
      <c r="B1425" s="525" t="s">
        <v>42</v>
      </c>
      <c r="C1425" s="526"/>
      <c r="D1425" s="526"/>
      <c r="E1425" s="526"/>
      <c r="F1425" s="526"/>
      <c r="G1425" s="527"/>
      <c r="H1425" s="73"/>
    </row>
    <row r="1426" spans="1:8" ht="17.2" customHeight="1" x14ac:dyDescent="0.3">
      <c r="A1426" s="62"/>
      <c r="B1426" s="518" t="s">
        <v>34</v>
      </c>
      <c r="C1426" s="519"/>
      <c r="D1426" s="62" t="s">
        <v>43</v>
      </c>
      <c r="E1426" s="74" t="s">
        <v>44</v>
      </c>
      <c r="F1426" s="74" t="s">
        <v>45</v>
      </c>
      <c r="G1426" s="74" t="s">
        <v>38</v>
      </c>
      <c r="H1426" s="73"/>
    </row>
    <row r="1427" spans="1:8" ht="17.2" customHeight="1" x14ac:dyDescent="0.3">
      <c r="A1427" s="63"/>
      <c r="B1427" s="523"/>
      <c r="C1427" s="524"/>
      <c r="D1427" s="93"/>
      <c r="E1427" s="94"/>
      <c r="F1427" s="272"/>
      <c r="G1427" s="67"/>
      <c r="H1427" s="73"/>
    </row>
    <row r="1428" spans="1:8" ht="17.2" customHeight="1" x14ac:dyDescent="0.3">
      <c r="A1428" s="63"/>
      <c r="B1428" s="523"/>
      <c r="C1428" s="524"/>
      <c r="D1428" s="93"/>
      <c r="E1428" s="94"/>
      <c r="F1428" s="95"/>
      <c r="G1428" s="67"/>
      <c r="H1428" s="73"/>
    </row>
    <row r="1429" spans="1:8" ht="17.2" customHeight="1" x14ac:dyDescent="0.3">
      <c r="A1429" s="63"/>
      <c r="B1429" s="546"/>
      <c r="C1429" s="547"/>
      <c r="D1429" s="270"/>
      <c r="E1429" s="270"/>
      <c r="F1429" s="95"/>
      <c r="G1429" s="67"/>
      <c r="H1429" s="73"/>
    </row>
    <row r="1430" spans="1:8" ht="17.2" customHeight="1" x14ac:dyDescent="0.3">
      <c r="A1430" s="70" t="s">
        <v>46</v>
      </c>
      <c r="E1430" s="71" t="s">
        <v>47</v>
      </c>
      <c r="F1430" s="71"/>
      <c r="G1430" s="71"/>
      <c r="H1430" s="76">
        <f>ROUND(SUM(G1427:G1429),2)</f>
        <v>0</v>
      </c>
    </row>
    <row r="1431" spans="1:8" ht="17.2" customHeight="1" x14ac:dyDescent="0.3">
      <c r="A1431" s="61" t="s">
        <v>48</v>
      </c>
      <c r="B1431" s="525" t="s">
        <v>49</v>
      </c>
      <c r="C1431" s="526"/>
      <c r="D1431" s="526"/>
      <c r="E1431" s="526"/>
      <c r="F1431" s="526"/>
      <c r="G1431" s="527"/>
      <c r="H1431" s="73"/>
    </row>
    <row r="1432" spans="1:8" ht="17.2" customHeight="1" x14ac:dyDescent="0.3">
      <c r="A1432" s="62" t="s">
        <v>50</v>
      </c>
      <c r="B1432" s="62" t="s">
        <v>34</v>
      </c>
      <c r="C1432" s="62" t="s">
        <v>51</v>
      </c>
      <c r="D1432" s="62" t="s">
        <v>52</v>
      </c>
      <c r="E1432" s="74" t="s">
        <v>53</v>
      </c>
      <c r="F1432" s="64" t="s">
        <v>260</v>
      </c>
      <c r="G1432" s="64" t="s">
        <v>38</v>
      </c>
      <c r="H1432" s="73"/>
    </row>
    <row r="1433" spans="1:8" ht="17.2" customHeight="1" x14ac:dyDescent="0.3">
      <c r="A1433" s="62">
        <v>1</v>
      </c>
      <c r="B1433" s="63" t="s">
        <v>79</v>
      </c>
      <c r="C1433" s="77">
        <v>120000</v>
      </c>
      <c r="D1433" s="78">
        <v>0.75</v>
      </c>
      <c r="E1433" s="79">
        <f>+(A1433*C1433)+(A1433*C1433*D1433)</f>
        <v>210000</v>
      </c>
      <c r="F1433" s="75">
        <v>50</v>
      </c>
      <c r="G1433" s="65">
        <f>ROUND(E1433/(F1433),2)</f>
        <v>4200</v>
      </c>
      <c r="H1433" s="73"/>
    </row>
    <row r="1434" spans="1:8" ht="17.2" customHeight="1" x14ac:dyDescent="0.3">
      <c r="A1434" s="62">
        <v>1</v>
      </c>
      <c r="B1434" s="63" t="s">
        <v>80</v>
      </c>
      <c r="C1434" s="77">
        <v>70000</v>
      </c>
      <c r="D1434" s="78">
        <v>0.75</v>
      </c>
      <c r="E1434" s="79">
        <f>+(A1434*C1434)+(A1434*C1434*D1434)</f>
        <v>122500</v>
      </c>
      <c r="F1434" s="75">
        <v>50</v>
      </c>
      <c r="G1434" s="65">
        <f>ROUND(E1434/(F1434),2)</f>
        <v>2450</v>
      </c>
      <c r="H1434" s="73"/>
    </row>
    <row r="1435" spans="1:8" ht="17.2" customHeight="1" x14ac:dyDescent="0.3">
      <c r="A1435" s="63"/>
      <c r="B1435" s="63"/>
      <c r="C1435" s="63"/>
      <c r="D1435" s="63"/>
      <c r="E1435" s="64"/>
      <c r="F1435" s="64"/>
      <c r="G1435" s="64"/>
      <c r="H1435" s="73"/>
    </row>
    <row r="1436" spans="1:8" ht="17.2" customHeight="1" x14ac:dyDescent="0.3">
      <c r="A1436" s="70"/>
      <c r="E1436" s="71" t="s">
        <v>54</v>
      </c>
      <c r="F1436" s="71"/>
      <c r="G1436" s="71"/>
      <c r="H1436" s="72">
        <f>ROUND(SUM(G1433)+(G1434),2)</f>
        <v>6650</v>
      </c>
    </row>
    <row r="1437" spans="1:8" ht="17.2" customHeight="1" x14ac:dyDescent="0.3">
      <c r="A1437" s="61" t="s">
        <v>55</v>
      </c>
      <c r="B1437" s="525" t="s">
        <v>56</v>
      </c>
      <c r="C1437" s="526"/>
      <c r="D1437" s="526"/>
      <c r="E1437" s="526"/>
      <c r="F1437" s="526"/>
      <c r="G1437" s="527"/>
      <c r="H1437" s="73"/>
    </row>
    <row r="1438" spans="1:8" ht="17.2" customHeight="1" x14ac:dyDescent="0.3">
      <c r="A1438" s="63"/>
      <c r="B1438" s="63" t="s">
        <v>34</v>
      </c>
      <c r="C1438" s="62" t="s">
        <v>43</v>
      </c>
      <c r="D1438" s="62" t="s">
        <v>57</v>
      </c>
      <c r="E1438" s="62" t="s">
        <v>58</v>
      </c>
      <c r="F1438" s="62"/>
      <c r="G1438" s="64" t="s">
        <v>59</v>
      </c>
      <c r="H1438" s="73"/>
    </row>
    <row r="1439" spans="1:8" ht="17.2" customHeight="1" x14ac:dyDescent="0.3">
      <c r="A1439" s="63"/>
      <c r="B1439" s="63" t="s">
        <v>82</v>
      </c>
      <c r="C1439" s="80" t="s">
        <v>83</v>
      </c>
      <c r="D1439" s="63">
        <v>5.0000000000000001E-3</v>
      </c>
      <c r="E1439" s="64">
        <v>50000</v>
      </c>
      <c r="F1439" s="64"/>
      <c r="G1439" s="64">
        <f>D1439*E1439</f>
        <v>250</v>
      </c>
      <c r="H1439" s="73"/>
    </row>
    <row r="1440" spans="1:8" ht="17.2" customHeight="1" x14ac:dyDescent="0.3">
      <c r="A1440" s="63"/>
      <c r="B1440" s="63"/>
      <c r="C1440" s="81"/>
      <c r="D1440" s="63"/>
      <c r="E1440" s="64"/>
      <c r="F1440" s="64"/>
      <c r="G1440" s="64"/>
      <c r="H1440" s="73"/>
    </row>
    <row r="1441" spans="1:8" ht="17.2" customHeight="1" x14ac:dyDescent="0.3">
      <c r="A1441" s="63"/>
      <c r="B1441" s="63"/>
      <c r="C1441" s="63"/>
      <c r="D1441" s="63"/>
      <c r="E1441" s="64"/>
      <c r="F1441" s="64"/>
      <c r="G1441" s="64"/>
      <c r="H1441" s="73"/>
    </row>
    <row r="1442" spans="1:8" ht="17.2" customHeight="1" x14ac:dyDescent="0.3">
      <c r="A1442" s="70"/>
      <c r="E1442" s="71" t="s">
        <v>54</v>
      </c>
      <c r="F1442" s="71"/>
      <c r="G1442" s="71"/>
      <c r="H1442" s="119">
        <f>ROUND(SUM(G1439)+(G1440),0)</f>
        <v>250</v>
      </c>
    </row>
    <row r="1443" spans="1:8" ht="17.2" customHeight="1" x14ac:dyDescent="0.3">
      <c r="A1443" s="59"/>
      <c r="E1443" s="71"/>
      <c r="F1443" s="71"/>
      <c r="G1443" s="71"/>
      <c r="H1443" s="73"/>
    </row>
    <row r="1444" spans="1:8" ht="17.2" customHeight="1" x14ac:dyDescent="0.3">
      <c r="A1444" s="59"/>
      <c r="D1444" s="82" t="s">
        <v>60</v>
      </c>
      <c r="E1444" s="83"/>
      <c r="F1444" s="83"/>
      <c r="G1444" s="83"/>
      <c r="H1444" s="72">
        <f>ROUND(SUM(H1424:H1443),2)</f>
        <v>7565</v>
      </c>
    </row>
    <row r="1445" spans="1:8" ht="17.2" customHeight="1" x14ac:dyDescent="0.3">
      <c r="A1445" s="59"/>
      <c r="E1445" s="71"/>
      <c r="F1445" s="71"/>
      <c r="G1445" s="71"/>
      <c r="H1445" s="73"/>
    </row>
    <row r="1446" spans="1:8" ht="17.2" customHeight="1" x14ac:dyDescent="0.3">
      <c r="A1446" s="61" t="s">
        <v>61</v>
      </c>
      <c r="B1446" s="525" t="s">
        <v>62</v>
      </c>
      <c r="C1446" s="526"/>
      <c r="D1446" s="526"/>
      <c r="E1446" s="526"/>
      <c r="F1446" s="526"/>
      <c r="G1446" s="527"/>
      <c r="H1446" s="73"/>
    </row>
    <row r="1447" spans="1:8" ht="17.2" customHeight="1" x14ac:dyDescent="0.3">
      <c r="A1447" s="62"/>
      <c r="B1447" s="518" t="s">
        <v>34</v>
      </c>
      <c r="C1447" s="519"/>
      <c r="D1447" s="518" t="s">
        <v>63</v>
      </c>
      <c r="E1447" s="519"/>
      <c r="F1447" s="528" t="s">
        <v>64</v>
      </c>
      <c r="G1447" s="529"/>
      <c r="H1447" s="73"/>
    </row>
    <row r="1448" spans="1:8" ht="17.2" customHeight="1" x14ac:dyDescent="0.3">
      <c r="A1448" s="63"/>
      <c r="B1448" s="518" t="s">
        <v>20</v>
      </c>
      <c r="C1448" s="519"/>
      <c r="D1448" s="520">
        <v>0.28000000000000003</v>
      </c>
      <c r="E1448" s="519"/>
      <c r="F1448" s="521">
        <f>+H1444*D1448</f>
        <v>2118.2000000000003</v>
      </c>
      <c r="G1448" s="522"/>
      <c r="H1448" s="73"/>
    </row>
    <row r="1449" spans="1:8" ht="17.2" customHeight="1" x14ac:dyDescent="0.3">
      <c r="A1449" s="63"/>
      <c r="B1449" s="518" t="s">
        <v>21</v>
      </c>
      <c r="C1449" s="519"/>
      <c r="D1449" s="520">
        <v>0.01</v>
      </c>
      <c r="E1449" s="519"/>
      <c r="F1449" s="521">
        <f>+H1444*D1449</f>
        <v>75.650000000000006</v>
      </c>
      <c r="G1449" s="522"/>
      <c r="H1449" s="73"/>
    </row>
    <row r="1450" spans="1:8" ht="17.2" customHeight="1" x14ac:dyDescent="0.3">
      <c r="A1450" s="63"/>
      <c r="B1450" s="518" t="s">
        <v>22</v>
      </c>
      <c r="C1450" s="519"/>
      <c r="D1450" s="520">
        <v>0.03</v>
      </c>
      <c r="E1450" s="519"/>
      <c r="F1450" s="521">
        <f>+H1444*D1450</f>
        <v>226.95</v>
      </c>
      <c r="G1450" s="522"/>
      <c r="H1450" s="73"/>
    </row>
    <row r="1451" spans="1:8" ht="17.2" customHeight="1" x14ac:dyDescent="0.3">
      <c r="A1451" s="63"/>
      <c r="B1451" s="518" t="s">
        <v>188</v>
      </c>
      <c r="C1451" s="519"/>
      <c r="D1451" s="520">
        <v>0.19</v>
      </c>
      <c r="E1451" s="519"/>
      <c r="F1451" s="521">
        <f>D1451*F1450</f>
        <v>43.1205</v>
      </c>
      <c r="G1451" s="522"/>
      <c r="H1451" s="73"/>
    </row>
    <row r="1452" spans="1:8" ht="17.2" customHeight="1" x14ac:dyDescent="0.3">
      <c r="A1452" s="59"/>
      <c r="D1452" s="82" t="s">
        <v>65</v>
      </c>
      <c r="E1452" s="83"/>
      <c r="F1452" s="83"/>
      <c r="G1452" s="83"/>
      <c r="H1452" s="72">
        <f>SUM(F1448:G1451)</f>
        <v>2463.9205000000002</v>
      </c>
    </row>
    <row r="1453" spans="1:8" ht="17.2" customHeight="1" x14ac:dyDescent="0.3">
      <c r="A1453" s="59"/>
      <c r="E1453" s="71"/>
      <c r="F1453" s="71"/>
      <c r="G1453" s="71"/>
      <c r="H1453" s="73"/>
    </row>
    <row r="1454" spans="1:8" ht="17.2" customHeight="1" x14ac:dyDescent="0.3">
      <c r="A1454" s="59"/>
      <c r="D1454" s="82" t="s">
        <v>66</v>
      </c>
      <c r="E1454" s="83"/>
      <c r="F1454" s="83"/>
      <c r="G1454" s="71"/>
      <c r="H1454" s="72">
        <f>H1444+H1452</f>
        <v>10028.9205</v>
      </c>
    </row>
    <row r="1455" spans="1:8" ht="17.2" customHeight="1" x14ac:dyDescent="0.3">
      <c r="A1455" s="59"/>
      <c r="D1455" s="82"/>
      <c r="E1455" s="83"/>
      <c r="F1455" s="83"/>
      <c r="G1455" s="71"/>
      <c r="H1455" s="73"/>
    </row>
    <row r="1456" spans="1:8" ht="17.2" customHeight="1" x14ac:dyDescent="0.3">
      <c r="A1456" s="59"/>
      <c r="E1456" s="83"/>
      <c r="F1456" s="83"/>
      <c r="G1456" s="71"/>
      <c r="H1456" s="73"/>
    </row>
    <row r="1457" spans="1:8" ht="17.2" customHeight="1" x14ac:dyDescent="0.3">
      <c r="A1457" s="84"/>
      <c r="B1457" s="85"/>
      <c r="E1457" s="46"/>
      <c r="F1457" s="47"/>
      <c r="G1457" s="48"/>
      <c r="H1457" s="73"/>
    </row>
    <row r="1458" spans="1:8" ht="17.2" customHeight="1" x14ac:dyDescent="0.3">
      <c r="A1458" s="86" t="s">
        <v>67</v>
      </c>
      <c r="B1458" s="50" t="s">
        <v>68</v>
      </c>
      <c r="E1458" s="49" t="s">
        <v>27</v>
      </c>
      <c r="F1458" s="50"/>
      <c r="G1458" s="50"/>
      <c r="H1458" s="87"/>
    </row>
    <row r="1459" spans="1:8" ht="17.2" customHeight="1" x14ac:dyDescent="0.3">
      <c r="A1459" s="88" t="s">
        <v>28</v>
      </c>
      <c r="B1459" s="50"/>
      <c r="E1459" s="50" t="str">
        <f ca="1">+$E$52</f>
        <v>SECRETARIO DE PLANEACION Y OBRAS PUBLICAS</v>
      </c>
      <c r="F1459" s="50"/>
      <c r="G1459" s="50"/>
      <c r="H1459" s="87"/>
    </row>
    <row r="1460" spans="1:8" ht="17.2" customHeight="1" x14ac:dyDescent="0.3">
      <c r="A1460" s="88"/>
      <c r="B1460" s="50"/>
      <c r="E1460" s="50" t="str">
        <f ca="1">+$E$53</f>
        <v>SAN MIGUEL - PUTUMAYO</v>
      </c>
      <c r="F1460" s="50"/>
      <c r="G1460" s="50"/>
      <c r="H1460" s="87"/>
    </row>
    <row r="1461" spans="1:8" ht="17.2" customHeight="1" x14ac:dyDescent="0.3">
      <c r="A1461" s="50"/>
      <c r="B1461" s="50"/>
      <c r="E1461" s="50"/>
      <c r="F1461" s="50"/>
      <c r="G1461" s="50"/>
      <c r="H1461" s="50"/>
    </row>
    <row r="1462" spans="1:8" ht="17.2" customHeight="1" x14ac:dyDescent="0.3">
      <c r="A1462" s="556"/>
      <c r="B1462" s="557"/>
      <c r="C1462" s="380" t="s">
        <v>2</v>
      </c>
      <c r="D1462" s="382" t="s">
        <v>3</v>
      </c>
      <c r="E1462" s="383"/>
      <c r="F1462" s="1">
        <v>103</v>
      </c>
      <c r="G1462" s="548"/>
      <c r="H1462" s="549"/>
    </row>
    <row r="1463" spans="1:8" ht="17.2" customHeight="1" x14ac:dyDescent="0.3">
      <c r="A1463" s="558"/>
      <c r="B1463" s="559"/>
      <c r="C1463" s="381"/>
      <c r="D1463" s="396" t="s">
        <v>4</v>
      </c>
      <c r="E1463" s="397"/>
      <c r="F1463" s="400">
        <v>51</v>
      </c>
      <c r="G1463" s="550"/>
      <c r="H1463" s="551"/>
    </row>
    <row r="1464" spans="1:8" ht="17.2" customHeight="1" x14ac:dyDescent="0.3">
      <c r="A1464" s="558"/>
      <c r="B1464" s="559"/>
      <c r="C1464" s="5" t="s">
        <v>5</v>
      </c>
      <c r="D1464" s="398"/>
      <c r="E1464" s="399"/>
      <c r="F1464" s="401"/>
      <c r="G1464" s="550"/>
      <c r="H1464" s="551"/>
    </row>
    <row r="1465" spans="1:8" ht="26.85" customHeight="1" x14ac:dyDescent="0.3">
      <c r="A1465" s="558"/>
      <c r="B1465" s="559"/>
      <c r="C1465" s="55" t="s">
        <v>6</v>
      </c>
      <c r="D1465" s="402" t="s">
        <v>7</v>
      </c>
      <c r="E1465" s="403"/>
      <c r="F1465" s="7">
        <v>1</v>
      </c>
      <c r="G1465" s="550"/>
      <c r="H1465" s="551"/>
    </row>
    <row r="1466" spans="1:8" ht="17.2" customHeight="1" x14ac:dyDescent="0.3">
      <c r="A1466" s="558"/>
      <c r="B1466" s="559"/>
      <c r="C1466" s="530" t="s">
        <v>8</v>
      </c>
      <c r="D1466" s="532" t="s">
        <v>9</v>
      </c>
      <c r="E1466" s="533"/>
      <c r="F1466" s="5" t="s">
        <v>10</v>
      </c>
      <c r="G1466" s="550"/>
      <c r="H1466" s="551"/>
    </row>
    <row r="1467" spans="1:8" ht="17.2" customHeight="1" x14ac:dyDescent="0.3">
      <c r="A1467" s="560"/>
      <c r="B1467" s="561"/>
      <c r="C1467" s="531"/>
      <c r="D1467" s="534"/>
      <c r="E1467" s="535"/>
      <c r="F1467" s="8">
        <f>$F$6</f>
        <v>45402</v>
      </c>
      <c r="G1467" s="552"/>
      <c r="H1467" s="553"/>
    </row>
    <row r="1468" spans="1:8" ht="17.2" customHeight="1" thickBot="1" x14ac:dyDescent="0.35">
      <c r="A1468" s="536"/>
      <c r="B1468" s="537"/>
      <c r="C1468" s="537"/>
      <c r="D1468" s="537"/>
      <c r="E1468" s="537"/>
      <c r="F1468" s="537"/>
      <c r="G1468" s="537"/>
      <c r="H1468" s="538"/>
    </row>
    <row r="1469" spans="1:8" ht="28.15" customHeight="1" thickBot="1" x14ac:dyDescent="0.35">
      <c r="A1469" s="275">
        <v>4.13</v>
      </c>
      <c r="B1469" s="539" t="str">
        <f>VLOOKUP(A1469,PRESUPUESTO!$A$14:$G$71,2,)</f>
        <v>Punto electrico 1/2"</v>
      </c>
      <c r="C1469" s="540"/>
      <c r="D1469" s="540"/>
      <c r="E1469" s="540"/>
      <c r="F1469" s="541"/>
      <c r="G1469" s="57" t="s">
        <v>31</v>
      </c>
      <c r="H1469" s="58" t="str">
        <f>VLOOKUP(A1469,PRESUPUESTO!$A$14:$G$71,4,)</f>
        <v>UND</v>
      </c>
    </row>
    <row r="1470" spans="1:8" ht="17.2" customHeight="1" x14ac:dyDescent="0.3">
      <c r="A1470" s="59"/>
      <c r="H1470" s="60"/>
    </row>
    <row r="1471" spans="1:8" ht="17.2" customHeight="1" x14ac:dyDescent="0.3">
      <c r="A1471" s="61" t="s">
        <v>32</v>
      </c>
      <c r="B1471" s="525" t="s">
        <v>33</v>
      </c>
      <c r="C1471" s="526"/>
      <c r="D1471" s="526"/>
      <c r="E1471" s="526"/>
      <c r="F1471" s="526"/>
      <c r="G1471" s="527"/>
      <c r="H1471" s="60"/>
    </row>
    <row r="1472" spans="1:8" ht="17.2" customHeight="1" x14ac:dyDescent="0.3">
      <c r="A1472" s="62"/>
      <c r="B1472" s="518" t="s">
        <v>34</v>
      </c>
      <c r="C1472" s="519"/>
      <c r="D1472" s="62" t="s">
        <v>35</v>
      </c>
      <c r="E1472" s="62" t="s">
        <v>69</v>
      </c>
      <c r="F1472" s="62" t="s">
        <v>70</v>
      </c>
      <c r="G1472" s="62" t="s">
        <v>38</v>
      </c>
      <c r="H1472" s="60"/>
    </row>
    <row r="1473" spans="1:8" ht="17.2" customHeight="1" x14ac:dyDescent="0.3">
      <c r="A1473" s="63"/>
      <c r="B1473" s="542" t="s">
        <v>39</v>
      </c>
      <c r="C1473" s="543"/>
      <c r="D1473" s="63"/>
      <c r="E1473" s="64"/>
      <c r="F1473" s="64">
        <v>0.1</v>
      </c>
      <c r="G1473" s="65">
        <f>ROUND(H1491*F1473,2)</f>
        <v>2275</v>
      </c>
      <c r="H1473" s="66"/>
    </row>
    <row r="1474" spans="1:8" ht="17.2" customHeight="1" x14ac:dyDescent="0.3">
      <c r="A1474" s="63"/>
      <c r="B1474" s="542"/>
      <c r="C1474" s="543"/>
      <c r="D1474" s="62"/>
      <c r="E1474" s="68"/>
      <c r="F1474" s="64"/>
      <c r="G1474" s="69"/>
      <c r="H1474" s="66"/>
    </row>
    <row r="1475" spans="1:8" ht="17.2" customHeight="1" x14ac:dyDescent="0.3">
      <c r="A1475" s="70"/>
      <c r="E1475" s="71" t="s">
        <v>40</v>
      </c>
      <c r="F1475" s="71"/>
      <c r="G1475" s="71"/>
      <c r="H1475" s="72">
        <f>ROUND(SUM(G1473:G1474),2)</f>
        <v>2275</v>
      </c>
    </row>
    <row r="1476" spans="1:8" ht="17.2" customHeight="1" x14ac:dyDescent="0.3">
      <c r="A1476" s="61" t="s">
        <v>41</v>
      </c>
      <c r="B1476" s="525" t="s">
        <v>42</v>
      </c>
      <c r="C1476" s="526"/>
      <c r="D1476" s="526"/>
      <c r="E1476" s="526"/>
      <c r="F1476" s="526"/>
      <c r="G1476" s="527"/>
      <c r="H1476" s="73"/>
    </row>
    <row r="1477" spans="1:8" ht="17.2" customHeight="1" x14ac:dyDescent="0.3">
      <c r="A1477" s="62"/>
      <c r="B1477" s="518" t="s">
        <v>34</v>
      </c>
      <c r="C1477" s="519"/>
      <c r="D1477" s="62" t="s">
        <v>43</v>
      </c>
      <c r="E1477" s="74" t="s">
        <v>44</v>
      </c>
      <c r="F1477" s="74" t="s">
        <v>45</v>
      </c>
      <c r="G1477" s="74" t="s">
        <v>38</v>
      </c>
      <c r="H1477" s="73"/>
    </row>
    <row r="1478" spans="1:8" ht="19.149999999999999" customHeight="1" x14ac:dyDescent="0.3">
      <c r="A1478" s="63"/>
      <c r="B1478" s="554" t="s">
        <v>305</v>
      </c>
      <c r="C1478" s="555"/>
      <c r="D1478" s="93" t="s">
        <v>233</v>
      </c>
      <c r="E1478" s="94">
        <v>1.5</v>
      </c>
      <c r="F1478" s="272">
        <f>15000/3</f>
        <v>5000</v>
      </c>
      <c r="G1478" s="120">
        <f>ROUND(E1478*F1478,2)</f>
        <v>7500</v>
      </c>
      <c r="H1478" s="73"/>
    </row>
    <row r="1479" spans="1:8" ht="17.2" customHeight="1" x14ac:dyDescent="0.3">
      <c r="A1479" s="63"/>
      <c r="B1479" s="523" t="s">
        <v>448</v>
      </c>
      <c r="C1479" s="524"/>
      <c r="D1479" s="93" t="s">
        <v>233</v>
      </c>
      <c r="E1479" s="94">
        <v>6</v>
      </c>
      <c r="F1479" s="272">
        <v>3200</v>
      </c>
      <c r="G1479" s="67">
        <f t="shared" ref="G1479:G1481" si="15">ROUND(E1479*F1479,2)</f>
        <v>19200</v>
      </c>
      <c r="H1479" s="73"/>
    </row>
    <row r="1480" spans="1:8" ht="17.2" customHeight="1" x14ac:dyDescent="0.3">
      <c r="A1480" s="63" t="s">
        <v>46</v>
      </c>
      <c r="B1480" s="523" t="s">
        <v>309</v>
      </c>
      <c r="C1480" s="524"/>
      <c r="D1480" s="93" t="s">
        <v>212</v>
      </c>
      <c r="E1480" s="94">
        <v>1</v>
      </c>
      <c r="F1480" s="95">
        <v>5000</v>
      </c>
      <c r="G1480" s="67">
        <f t="shared" si="15"/>
        <v>5000</v>
      </c>
      <c r="H1480" s="73"/>
    </row>
    <row r="1481" spans="1:8" ht="17.2" customHeight="1" x14ac:dyDescent="0.3">
      <c r="A1481" s="63"/>
      <c r="B1481" s="546" t="s">
        <v>449</v>
      </c>
      <c r="C1481" s="547"/>
      <c r="D1481" s="270" t="s">
        <v>208</v>
      </c>
      <c r="E1481" s="270">
        <v>1</v>
      </c>
      <c r="F1481" s="95">
        <v>2000</v>
      </c>
      <c r="G1481" s="67">
        <f t="shared" si="15"/>
        <v>2000</v>
      </c>
      <c r="H1481" s="73"/>
    </row>
    <row r="1482" spans="1:8" ht="17.2" customHeight="1" x14ac:dyDescent="0.3">
      <c r="A1482" s="63"/>
      <c r="B1482" s="546"/>
      <c r="C1482" s="547"/>
      <c r="D1482" s="270"/>
      <c r="E1482" s="270"/>
      <c r="F1482" s="95"/>
      <c r="G1482" s="67"/>
      <c r="H1482" s="73"/>
    </row>
    <row r="1483" spans="1:8" ht="17.2" customHeight="1" x14ac:dyDescent="0.3">
      <c r="A1483" s="63"/>
      <c r="B1483" s="523"/>
      <c r="C1483" s="524"/>
      <c r="D1483" s="93"/>
      <c r="E1483" s="94"/>
      <c r="F1483" s="95"/>
      <c r="G1483" s="67"/>
      <c r="H1483" s="73"/>
    </row>
    <row r="1484" spans="1:8" ht="17.2" customHeight="1" x14ac:dyDescent="0.3">
      <c r="A1484" s="63"/>
      <c r="B1484" s="523"/>
      <c r="C1484" s="524"/>
      <c r="D1484" s="93"/>
      <c r="E1484" s="94"/>
      <c r="F1484" s="95"/>
      <c r="G1484" s="67"/>
      <c r="H1484" s="73"/>
    </row>
    <row r="1485" spans="1:8" ht="17.2" customHeight="1" x14ac:dyDescent="0.3">
      <c r="A1485" s="70" t="s">
        <v>46</v>
      </c>
      <c r="E1485" s="71" t="s">
        <v>47</v>
      </c>
      <c r="F1485" s="71"/>
      <c r="G1485" s="71"/>
      <c r="H1485" s="76">
        <f>ROUND(SUM(G1478:G1484),2)</f>
        <v>33700</v>
      </c>
    </row>
    <row r="1486" spans="1:8" ht="17.2" customHeight="1" x14ac:dyDescent="0.3">
      <c r="A1486" s="61" t="s">
        <v>48</v>
      </c>
      <c r="B1486" s="525" t="s">
        <v>49</v>
      </c>
      <c r="C1486" s="526"/>
      <c r="D1486" s="526"/>
      <c r="E1486" s="526"/>
      <c r="F1486" s="526"/>
      <c r="G1486" s="527"/>
      <c r="H1486" s="73"/>
    </row>
    <row r="1487" spans="1:8" ht="17.2" customHeight="1" x14ac:dyDescent="0.3">
      <c r="A1487" s="62" t="s">
        <v>50</v>
      </c>
      <c r="B1487" s="62" t="s">
        <v>34</v>
      </c>
      <c r="C1487" s="62" t="s">
        <v>51</v>
      </c>
      <c r="D1487" s="62" t="s">
        <v>52</v>
      </c>
      <c r="E1487" s="74" t="s">
        <v>53</v>
      </c>
      <c r="F1487" s="64" t="s">
        <v>260</v>
      </c>
      <c r="G1487" s="64" t="s">
        <v>38</v>
      </c>
      <c r="H1487" s="73"/>
    </row>
    <row r="1488" spans="1:8" ht="17.2" customHeight="1" x14ac:dyDescent="0.3">
      <c r="A1488" s="62">
        <v>1</v>
      </c>
      <c r="B1488" s="63" t="s">
        <v>79</v>
      </c>
      <c r="C1488" s="77">
        <v>120000</v>
      </c>
      <c r="D1488" s="78">
        <v>0.75</v>
      </c>
      <c r="E1488" s="79">
        <f>+(A1488*C1488)+(A1488*C1488*D1488)</f>
        <v>210000</v>
      </c>
      <c r="F1488" s="75">
        <v>20</v>
      </c>
      <c r="G1488" s="65">
        <f>ROUND(E1488/(F1488),2)</f>
        <v>10500</v>
      </c>
      <c r="H1488" s="73"/>
    </row>
    <row r="1489" spans="1:8" ht="17.2" customHeight="1" x14ac:dyDescent="0.3">
      <c r="A1489" s="62">
        <v>2</v>
      </c>
      <c r="B1489" s="63" t="s">
        <v>80</v>
      </c>
      <c r="C1489" s="77">
        <v>70000</v>
      </c>
      <c r="D1489" s="78">
        <v>0.75</v>
      </c>
      <c r="E1489" s="79">
        <f>+(A1489*C1489)+(A1489*C1489*D1489)</f>
        <v>245000</v>
      </c>
      <c r="F1489" s="75">
        <v>20</v>
      </c>
      <c r="G1489" s="65">
        <f>ROUND(E1489/(F1489),2)</f>
        <v>12250</v>
      </c>
      <c r="H1489" s="73"/>
    </row>
    <row r="1490" spans="1:8" ht="17.2" customHeight="1" x14ac:dyDescent="0.3">
      <c r="A1490" s="63"/>
      <c r="B1490" s="63"/>
      <c r="C1490" s="63"/>
      <c r="D1490" s="63"/>
      <c r="E1490" s="64"/>
      <c r="F1490" s="64"/>
      <c r="G1490" s="64"/>
      <c r="H1490" s="73"/>
    </row>
    <row r="1491" spans="1:8" ht="17.2" customHeight="1" x14ac:dyDescent="0.3">
      <c r="A1491" s="70"/>
      <c r="E1491" s="71" t="s">
        <v>54</v>
      </c>
      <c r="F1491" s="71"/>
      <c r="G1491" s="71"/>
      <c r="H1491" s="72">
        <f>ROUND(SUM(G1488)+(G1489),2)</f>
        <v>22750</v>
      </c>
    </row>
    <row r="1492" spans="1:8" ht="17.2" customHeight="1" x14ac:dyDescent="0.3">
      <c r="A1492" s="61" t="s">
        <v>55</v>
      </c>
      <c r="B1492" s="525" t="s">
        <v>56</v>
      </c>
      <c r="C1492" s="526"/>
      <c r="D1492" s="526"/>
      <c r="E1492" s="526"/>
      <c r="F1492" s="526"/>
      <c r="G1492" s="527"/>
      <c r="H1492" s="73"/>
    </row>
    <row r="1493" spans="1:8" ht="17.2" customHeight="1" x14ac:dyDescent="0.3">
      <c r="A1493" s="63"/>
      <c r="B1493" s="63" t="s">
        <v>34</v>
      </c>
      <c r="C1493" s="62" t="s">
        <v>43</v>
      </c>
      <c r="D1493" s="62" t="s">
        <v>57</v>
      </c>
      <c r="E1493" s="62" t="s">
        <v>58</v>
      </c>
      <c r="F1493" s="62"/>
      <c r="G1493" s="64" t="s">
        <v>59</v>
      </c>
      <c r="H1493" s="73"/>
    </row>
    <row r="1494" spans="1:8" ht="17.2" customHeight="1" x14ac:dyDescent="0.3">
      <c r="A1494" s="63"/>
      <c r="B1494" s="63" t="s">
        <v>82</v>
      </c>
      <c r="C1494" s="80" t="s">
        <v>83</v>
      </c>
      <c r="D1494" s="63">
        <v>5.0000000000000001E-3</v>
      </c>
      <c r="E1494" s="64">
        <v>50000</v>
      </c>
      <c r="F1494" s="64"/>
      <c r="G1494" s="64">
        <f>D1494*E1494</f>
        <v>250</v>
      </c>
      <c r="H1494" s="73"/>
    </row>
    <row r="1495" spans="1:8" ht="17.2" customHeight="1" x14ac:dyDescent="0.3">
      <c r="A1495" s="63"/>
      <c r="B1495" s="63"/>
      <c r="C1495" s="81"/>
      <c r="D1495" s="63"/>
      <c r="E1495" s="64"/>
      <c r="F1495" s="64"/>
      <c r="G1495" s="64"/>
      <c r="H1495" s="73"/>
    </row>
    <row r="1496" spans="1:8" ht="17.2" customHeight="1" x14ac:dyDescent="0.3">
      <c r="A1496" s="63"/>
      <c r="B1496" s="63"/>
      <c r="C1496" s="63"/>
      <c r="D1496" s="63"/>
      <c r="E1496" s="64"/>
      <c r="F1496" s="64"/>
      <c r="G1496" s="64"/>
      <c r="H1496" s="73"/>
    </row>
    <row r="1497" spans="1:8" ht="17.2" customHeight="1" x14ac:dyDescent="0.3">
      <c r="A1497" s="70"/>
      <c r="E1497" s="71" t="s">
        <v>54</v>
      </c>
      <c r="F1497" s="71"/>
      <c r="G1497" s="71"/>
      <c r="H1497" s="119">
        <f>ROUND(SUM(G1494)+(G1495),0)</f>
        <v>250</v>
      </c>
    </row>
    <row r="1498" spans="1:8" ht="17.2" customHeight="1" x14ac:dyDescent="0.3">
      <c r="A1498" s="59"/>
      <c r="E1498" s="71"/>
      <c r="F1498" s="71"/>
      <c r="G1498" s="71"/>
      <c r="H1498" s="73"/>
    </row>
    <row r="1499" spans="1:8" ht="17.2" customHeight="1" x14ac:dyDescent="0.3">
      <c r="A1499" s="59"/>
      <c r="D1499" s="82" t="s">
        <v>60</v>
      </c>
      <c r="E1499" s="83"/>
      <c r="F1499" s="83"/>
      <c r="G1499" s="83"/>
      <c r="H1499" s="72">
        <f>ROUND(SUM(H1475:H1498),2)</f>
        <v>58975</v>
      </c>
    </row>
    <row r="1500" spans="1:8" ht="17.2" customHeight="1" x14ac:dyDescent="0.3">
      <c r="A1500" s="59"/>
      <c r="E1500" s="71"/>
      <c r="F1500" s="71"/>
      <c r="G1500" s="71"/>
      <c r="H1500" s="73"/>
    </row>
    <row r="1501" spans="1:8" ht="17.2" customHeight="1" x14ac:dyDescent="0.3">
      <c r="A1501" s="61" t="s">
        <v>61</v>
      </c>
      <c r="B1501" s="525" t="s">
        <v>62</v>
      </c>
      <c r="C1501" s="526"/>
      <c r="D1501" s="526"/>
      <c r="E1501" s="526"/>
      <c r="F1501" s="526"/>
      <c r="G1501" s="527"/>
      <c r="H1501" s="73"/>
    </row>
    <row r="1502" spans="1:8" ht="17.2" customHeight="1" x14ac:dyDescent="0.3">
      <c r="A1502" s="62"/>
      <c r="B1502" s="518" t="s">
        <v>34</v>
      </c>
      <c r="C1502" s="519"/>
      <c r="D1502" s="518" t="s">
        <v>63</v>
      </c>
      <c r="E1502" s="519"/>
      <c r="F1502" s="528" t="s">
        <v>64</v>
      </c>
      <c r="G1502" s="529"/>
      <c r="H1502" s="73"/>
    </row>
    <row r="1503" spans="1:8" ht="17.2" customHeight="1" x14ac:dyDescent="0.3">
      <c r="A1503" s="63"/>
      <c r="B1503" s="518" t="s">
        <v>20</v>
      </c>
      <c r="C1503" s="519"/>
      <c r="D1503" s="520">
        <v>0.28000000000000003</v>
      </c>
      <c r="E1503" s="519"/>
      <c r="F1503" s="521">
        <f>+H1499*D1503</f>
        <v>16513</v>
      </c>
      <c r="G1503" s="522"/>
      <c r="H1503" s="73"/>
    </row>
    <row r="1504" spans="1:8" ht="17.2" customHeight="1" x14ac:dyDescent="0.3">
      <c r="A1504" s="63"/>
      <c r="B1504" s="518" t="s">
        <v>21</v>
      </c>
      <c r="C1504" s="519"/>
      <c r="D1504" s="520">
        <v>0.01</v>
      </c>
      <c r="E1504" s="519"/>
      <c r="F1504" s="521">
        <f>+H1499*D1504</f>
        <v>589.75</v>
      </c>
      <c r="G1504" s="522"/>
      <c r="H1504" s="73"/>
    </row>
    <row r="1505" spans="1:8" ht="17.2" customHeight="1" x14ac:dyDescent="0.3">
      <c r="A1505" s="63"/>
      <c r="B1505" s="518" t="s">
        <v>22</v>
      </c>
      <c r="C1505" s="519"/>
      <c r="D1505" s="520">
        <v>0.03</v>
      </c>
      <c r="E1505" s="519"/>
      <c r="F1505" s="521">
        <f>+H1495*D1505</f>
        <v>0</v>
      </c>
      <c r="G1505" s="522"/>
      <c r="H1505" s="73"/>
    </row>
    <row r="1506" spans="1:8" ht="17.2" customHeight="1" x14ac:dyDescent="0.3">
      <c r="A1506" s="63"/>
      <c r="B1506" s="518" t="s">
        <v>188</v>
      </c>
      <c r="C1506" s="519"/>
      <c r="D1506" s="520">
        <v>0.19</v>
      </c>
      <c r="E1506" s="519"/>
      <c r="F1506" s="521">
        <f>D1506*F1505</f>
        <v>0</v>
      </c>
      <c r="G1506" s="522"/>
      <c r="H1506" s="73"/>
    </row>
    <row r="1507" spans="1:8" ht="17.2" customHeight="1" x14ac:dyDescent="0.3">
      <c r="A1507" s="59"/>
      <c r="D1507" s="82" t="s">
        <v>65</v>
      </c>
      <c r="E1507" s="83"/>
      <c r="F1507" s="83"/>
      <c r="G1507" s="83"/>
      <c r="H1507" s="72">
        <f>SUM(F1503:G1506)</f>
        <v>17102.75</v>
      </c>
    </row>
    <row r="1508" spans="1:8" ht="17.2" customHeight="1" x14ac:dyDescent="0.3">
      <c r="A1508" s="59"/>
      <c r="E1508" s="71"/>
      <c r="F1508" s="71"/>
      <c r="G1508" s="71"/>
      <c r="H1508" s="73"/>
    </row>
    <row r="1509" spans="1:8" ht="17.2" customHeight="1" x14ac:dyDescent="0.3">
      <c r="A1509" s="59"/>
      <c r="D1509" s="82" t="s">
        <v>66</v>
      </c>
      <c r="E1509" s="83"/>
      <c r="F1509" s="83"/>
      <c r="G1509" s="71"/>
      <c r="H1509" s="72">
        <f>H1495+H1507</f>
        <v>17102.75</v>
      </c>
    </row>
    <row r="1510" spans="1:8" ht="17.2" customHeight="1" x14ac:dyDescent="0.3">
      <c r="A1510" s="59"/>
      <c r="D1510" s="82"/>
      <c r="E1510" s="83"/>
      <c r="F1510" s="83"/>
      <c r="G1510" s="71"/>
      <c r="H1510" s="73"/>
    </row>
    <row r="1511" spans="1:8" ht="17.2" customHeight="1" x14ac:dyDescent="0.3">
      <c r="A1511" s="59"/>
      <c r="E1511" s="83"/>
      <c r="F1511" s="83"/>
      <c r="G1511" s="71"/>
      <c r="H1511" s="73"/>
    </row>
    <row r="1512" spans="1:8" ht="17.2" customHeight="1" x14ac:dyDescent="0.3">
      <c r="A1512" s="84"/>
      <c r="B1512" s="85"/>
      <c r="E1512" s="46"/>
      <c r="F1512" s="47"/>
      <c r="G1512" s="48"/>
      <c r="H1512" s="73"/>
    </row>
    <row r="1513" spans="1:8" ht="17.2" customHeight="1" x14ac:dyDescent="0.3">
      <c r="A1513" s="86" t="s">
        <v>67</v>
      </c>
      <c r="B1513" s="50" t="s">
        <v>68</v>
      </c>
      <c r="E1513" s="49" t="s">
        <v>27</v>
      </c>
      <c r="F1513" s="50"/>
      <c r="G1513" s="50"/>
      <c r="H1513" s="87"/>
    </row>
    <row r="1514" spans="1:8" ht="17.2" customHeight="1" x14ac:dyDescent="0.3">
      <c r="A1514" s="88" t="s">
        <v>28</v>
      </c>
      <c r="B1514" s="50"/>
      <c r="E1514" s="50" t="str">
        <f ca="1">+$E$52</f>
        <v>SECRETARIO DE PLANEACION Y OBRAS PUBLICAS</v>
      </c>
      <c r="F1514" s="50"/>
      <c r="G1514" s="50"/>
      <c r="H1514" s="87"/>
    </row>
    <row r="1515" spans="1:8" ht="17.2" customHeight="1" x14ac:dyDescent="0.3">
      <c r="A1515" s="88"/>
      <c r="B1515" s="50"/>
      <c r="E1515" s="50" t="str">
        <f ca="1">+$E$53</f>
        <v>SAN MIGUEL - PUTUMAYO</v>
      </c>
      <c r="F1515" s="50"/>
      <c r="G1515" s="50"/>
      <c r="H1515" s="87"/>
    </row>
    <row r="1516" spans="1:8" ht="17.2" customHeight="1" x14ac:dyDescent="0.3">
      <c r="A1516" s="50"/>
      <c r="B1516" s="50"/>
      <c r="E1516" s="50"/>
      <c r="F1516" s="50"/>
      <c r="G1516" s="50"/>
      <c r="H1516" s="50"/>
    </row>
    <row r="1517" spans="1:8" ht="17.2" customHeight="1" x14ac:dyDescent="0.3">
      <c r="A1517" s="556"/>
      <c r="B1517" s="557"/>
      <c r="C1517" s="380" t="s">
        <v>2</v>
      </c>
      <c r="D1517" s="382" t="s">
        <v>3</v>
      </c>
      <c r="E1517" s="383"/>
      <c r="F1517" s="1">
        <v>103</v>
      </c>
      <c r="G1517" s="548"/>
      <c r="H1517" s="549"/>
    </row>
    <row r="1518" spans="1:8" ht="17.2" customHeight="1" x14ac:dyDescent="0.3">
      <c r="A1518" s="558"/>
      <c r="B1518" s="559"/>
      <c r="C1518" s="381"/>
      <c r="D1518" s="396" t="s">
        <v>4</v>
      </c>
      <c r="E1518" s="397"/>
      <c r="F1518" s="400">
        <v>51</v>
      </c>
      <c r="G1518" s="550"/>
      <c r="H1518" s="551"/>
    </row>
    <row r="1519" spans="1:8" ht="17.2" customHeight="1" x14ac:dyDescent="0.3">
      <c r="A1519" s="558"/>
      <c r="B1519" s="559"/>
      <c r="C1519" s="5" t="s">
        <v>5</v>
      </c>
      <c r="D1519" s="398"/>
      <c r="E1519" s="399"/>
      <c r="F1519" s="401"/>
      <c r="G1519" s="550"/>
      <c r="H1519" s="551"/>
    </row>
    <row r="1520" spans="1:8" ht="26.85" customHeight="1" x14ac:dyDescent="0.3">
      <c r="A1520" s="558"/>
      <c r="B1520" s="559"/>
      <c r="C1520" s="55" t="s">
        <v>6</v>
      </c>
      <c r="D1520" s="402" t="s">
        <v>7</v>
      </c>
      <c r="E1520" s="403"/>
      <c r="F1520" s="7">
        <v>1</v>
      </c>
      <c r="G1520" s="550"/>
      <c r="H1520" s="551"/>
    </row>
    <row r="1521" spans="1:8" ht="17.2" customHeight="1" x14ac:dyDescent="0.3">
      <c r="A1521" s="558"/>
      <c r="B1521" s="559"/>
      <c r="C1521" s="530" t="s">
        <v>8</v>
      </c>
      <c r="D1521" s="532" t="s">
        <v>9</v>
      </c>
      <c r="E1521" s="533"/>
      <c r="F1521" s="5" t="s">
        <v>10</v>
      </c>
      <c r="G1521" s="550"/>
      <c r="H1521" s="551"/>
    </row>
    <row r="1522" spans="1:8" ht="17.2" customHeight="1" x14ac:dyDescent="0.3">
      <c r="A1522" s="560"/>
      <c r="B1522" s="561"/>
      <c r="C1522" s="531"/>
      <c r="D1522" s="534"/>
      <c r="E1522" s="535"/>
      <c r="F1522" s="8">
        <f>$F$6</f>
        <v>45402</v>
      </c>
      <c r="G1522" s="552"/>
      <c r="H1522" s="553"/>
    </row>
    <row r="1523" spans="1:8" ht="17.2" customHeight="1" thickBot="1" x14ac:dyDescent="0.35">
      <c r="A1523" s="536"/>
      <c r="B1523" s="537"/>
      <c r="C1523" s="537"/>
      <c r="D1523" s="537"/>
      <c r="E1523" s="537"/>
      <c r="F1523" s="537"/>
      <c r="G1523" s="537"/>
      <c r="H1523" s="538"/>
    </row>
    <row r="1524" spans="1:8" ht="28.15" customHeight="1" thickBot="1" x14ac:dyDescent="0.35">
      <c r="A1524" s="275">
        <v>4.1399999999999997</v>
      </c>
      <c r="B1524" s="539" t="str">
        <f>VLOOKUP(A1524,PRESUPUESTO!$A$14:$G$71,2,)</f>
        <v>Tuberia EMT 1/2"</v>
      </c>
      <c r="C1524" s="540"/>
      <c r="D1524" s="540"/>
      <c r="E1524" s="540"/>
      <c r="F1524" s="541"/>
      <c r="G1524" s="57" t="s">
        <v>31</v>
      </c>
      <c r="H1524" s="58" t="str">
        <f>VLOOKUP(A1524,PRESUPUESTO!$A$14:$G$71,4,)</f>
        <v>ML</v>
      </c>
    </row>
    <row r="1525" spans="1:8" ht="17.2" customHeight="1" x14ac:dyDescent="0.3">
      <c r="A1525" s="59"/>
      <c r="H1525" s="60"/>
    </row>
    <row r="1526" spans="1:8" ht="17.2" customHeight="1" x14ac:dyDescent="0.3">
      <c r="A1526" s="61" t="s">
        <v>32</v>
      </c>
      <c r="B1526" s="525" t="s">
        <v>33</v>
      </c>
      <c r="C1526" s="526"/>
      <c r="D1526" s="526"/>
      <c r="E1526" s="526"/>
      <c r="F1526" s="526"/>
      <c r="G1526" s="527"/>
      <c r="H1526" s="60"/>
    </row>
    <row r="1527" spans="1:8" ht="17.2" customHeight="1" x14ac:dyDescent="0.3">
      <c r="A1527" s="62"/>
      <c r="B1527" s="518" t="s">
        <v>34</v>
      </c>
      <c r="C1527" s="519"/>
      <c r="D1527" s="62" t="s">
        <v>35</v>
      </c>
      <c r="E1527" s="62" t="s">
        <v>69</v>
      </c>
      <c r="F1527" s="62" t="s">
        <v>70</v>
      </c>
      <c r="G1527" s="62" t="s">
        <v>38</v>
      </c>
      <c r="H1527" s="60"/>
    </row>
    <row r="1528" spans="1:8" ht="17.2" customHeight="1" x14ac:dyDescent="0.3">
      <c r="A1528" s="63"/>
      <c r="B1528" s="542" t="s">
        <v>39</v>
      </c>
      <c r="C1528" s="543"/>
      <c r="D1528" s="63"/>
      <c r="E1528" s="64"/>
      <c r="F1528" s="64">
        <v>0.1</v>
      </c>
      <c r="G1528" s="65">
        <f>ROUND(H1546*F1528,2)</f>
        <v>1300</v>
      </c>
      <c r="H1528" s="66"/>
    </row>
    <row r="1529" spans="1:8" ht="17.2" customHeight="1" x14ac:dyDescent="0.3">
      <c r="A1529" s="63"/>
      <c r="B1529" s="542"/>
      <c r="C1529" s="543"/>
      <c r="D1529" s="62"/>
      <c r="E1529" s="68"/>
      <c r="F1529" s="64"/>
      <c r="G1529" s="69"/>
      <c r="H1529" s="66"/>
    </row>
    <row r="1530" spans="1:8" ht="17.2" customHeight="1" x14ac:dyDescent="0.3">
      <c r="A1530" s="70"/>
      <c r="E1530" s="71" t="s">
        <v>40</v>
      </c>
      <c r="F1530" s="71"/>
      <c r="G1530" s="71"/>
      <c r="H1530" s="72">
        <f>ROUND(SUM(G1528:G1529),2)</f>
        <v>1300</v>
      </c>
    </row>
    <row r="1531" spans="1:8" ht="17.2" customHeight="1" x14ac:dyDescent="0.3">
      <c r="A1531" s="61" t="s">
        <v>41</v>
      </c>
      <c r="B1531" s="525" t="s">
        <v>42</v>
      </c>
      <c r="C1531" s="526"/>
      <c r="D1531" s="526"/>
      <c r="E1531" s="526"/>
      <c r="F1531" s="526"/>
      <c r="G1531" s="527"/>
      <c r="H1531" s="73"/>
    </row>
    <row r="1532" spans="1:8" ht="17.2" customHeight="1" x14ac:dyDescent="0.3">
      <c r="A1532" s="62"/>
      <c r="B1532" s="518" t="s">
        <v>34</v>
      </c>
      <c r="C1532" s="519"/>
      <c r="D1532" s="62" t="s">
        <v>43</v>
      </c>
      <c r="E1532" s="74" t="s">
        <v>44</v>
      </c>
      <c r="F1532" s="74" t="s">
        <v>45</v>
      </c>
      <c r="G1532" s="74" t="s">
        <v>38</v>
      </c>
      <c r="H1532" s="73"/>
    </row>
    <row r="1533" spans="1:8" ht="19.149999999999999" customHeight="1" x14ac:dyDescent="0.3">
      <c r="A1533" s="63"/>
      <c r="B1533" s="554" t="s">
        <v>305</v>
      </c>
      <c r="C1533" s="555"/>
      <c r="D1533" s="93" t="s">
        <v>233</v>
      </c>
      <c r="E1533" s="94">
        <v>1</v>
      </c>
      <c r="F1533" s="272">
        <v>12000</v>
      </c>
      <c r="G1533" s="120">
        <f>ROUND(E1533*F1533,2)</f>
        <v>12000</v>
      </c>
      <c r="H1533" s="73"/>
    </row>
    <row r="1534" spans="1:8" ht="17.2" customHeight="1" x14ac:dyDescent="0.3">
      <c r="A1534" s="63"/>
      <c r="B1534" s="523" t="s">
        <v>452</v>
      </c>
      <c r="C1534" s="524"/>
      <c r="D1534" s="93" t="s">
        <v>218</v>
      </c>
      <c r="E1534" s="94">
        <v>0.33</v>
      </c>
      <c r="F1534" s="272">
        <v>1000</v>
      </c>
      <c r="G1534" s="67">
        <f t="shared" ref="G1534:G1535" si="16">ROUND(E1534*F1534,2)</f>
        <v>330</v>
      </c>
      <c r="H1534" s="73"/>
    </row>
    <row r="1535" spans="1:8" ht="17.2" customHeight="1" x14ac:dyDescent="0.3">
      <c r="A1535" s="63" t="s">
        <v>46</v>
      </c>
      <c r="B1535" s="523" t="s">
        <v>453</v>
      </c>
      <c r="C1535" s="524"/>
      <c r="D1535" s="93" t="s">
        <v>218</v>
      </c>
      <c r="E1535" s="94">
        <v>0.2</v>
      </c>
      <c r="F1535" s="95">
        <v>3000</v>
      </c>
      <c r="G1535" s="67">
        <f t="shared" si="16"/>
        <v>600</v>
      </c>
      <c r="H1535" s="73"/>
    </row>
    <row r="1536" spans="1:8" ht="17.2" customHeight="1" x14ac:dyDescent="0.3">
      <c r="A1536" s="63"/>
      <c r="B1536" s="546"/>
      <c r="C1536" s="547"/>
      <c r="D1536" s="270"/>
      <c r="E1536" s="270"/>
      <c r="F1536" s="95"/>
      <c r="G1536" s="67"/>
      <c r="H1536" s="73"/>
    </row>
    <row r="1537" spans="1:8" ht="17.2" customHeight="1" x14ac:dyDescent="0.3">
      <c r="A1537" s="63"/>
      <c r="B1537" s="546"/>
      <c r="C1537" s="547"/>
      <c r="D1537" s="270"/>
      <c r="E1537" s="270"/>
      <c r="F1537" s="95"/>
      <c r="G1537" s="67"/>
      <c r="H1537" s="73"/>
    </row>
    <row r="1538" spans="1:8" ht="17.2" customHeight="1" x14ac:dyDescent="0.3">
      <c r="A1538" s="63"/>
      <c r="B1538" s="523"/>
      <c r="C1538" s="524"/>
      <c r="D1538" s="93"/>
      <c r="E1538" s="94"/>
      <c r="F1538" s="95"/>
      <c r="G1538" s="67"/>
      <c r="H1538" s="73"/>
    </row>
    <row r="1539" spans="1:8" ht="17.2" customHeight="1" x14ac:dyDescent="0.3">
      <c r="A1539" s="63"/>
      <c r="B1539" s="523"/>
      <c r="C1539" s="524"/>
      <c r="D1539" s="93"/>
      <c r="E1539" s="94"/>
      <c r="F1539" s="95"/>
      <c r="G1539" s="67"/>
      <c r="H1539" s="73"/>
    </row>
    <row r="1540" spans="1:8" ht="17.2" customHeight="1" x14ac:dyDescent="0.3">
      <c r="A1540" s="70" t="s">
        <v>46</v>
      </c>
      <c r="E1540" s="71" t="s">
        <v>47</v>
      </c>
      <c r="F1540" s="71"/>
      <c r="G1540" s="71"/>
      <c r="H1540" s="76">
        <f>ROUND(SUM(G1533:G1539),2)</f>
        <v>12930</v>
      </c>
    </row>
    <row r="1541" spans="1:8" ht="17.2" customHeight="1" x14ac:dyDescent="0.3">
      <c r="A1541" s="61" t="s">
        <v>48</v>
      </c>
      <c r="B1541" s="525" t="s">
        <v>49</v>
      </c>
      <c r="C1541" s="526"/>
      <c r="D1541" s="526"/>
      <c r="E1541" s="526"/>
      <c r="F1541" s="526"/>
      <c r="G1541" s="527"/>
      <c r="H1541" s="73"/>
    </row>
    <row r="1542" spans="1:8" ht="17.2" customHeight="1" x14ac:dyDescent="0.3">
      <c r="A1542" s="62" t="s">
        <v>50</v>
      </c>
      <c r="B1542" s="62" t="s">
        <v>34</v>
      </c>
      <c r="C1542" s="62" t="s">
        <v>51</v>
      </c>
      <c r="D1542" s="62" t="s">
        <v>52</v>
      </c>
      <c r="E1542" s="74" t="s">
        <v>53</v>
      </c>
      <c r="F1542" s="64" t="s">
        <v>310</v>
      </c>
      <c r="G1542" s="64" t="s">
        <v>38</v>
      </c>
      <c r="H1542" s="73"/>
    </row>
    <row r="1543" spans="1:8" ht="17.2" customHeight="1" x14ac:dyDescent="0.3">
      <c r="A1543" s="62">
        <v>1</v>
      </c>
      <c r="B1543" s="63" t="s">
        <v>79</v>
      </c>
      <c r="C1543" s="77">
        <v>120000</v>
      </c>
      <c r="D1543" s="78">
        <v>0.75</v>
      </c>
      <c r="E1543" s="79">
        <f>+(A1543*C1543)+(A1543*C1543*D1543)</f>
        <v>210000</v>
      </c>
      <c r="F1543" s="75">
        <v>35</v>
      </c>
      <c r="G1543" s="65">
        <f>ROUND(E1543/(F1543),2)</f>
        <v>6000</v>
      </c>
      <c r="H1543" s="73"/>
    </row>
    <row r="1544" spans="1:8" ht="17.2" customHeight="1" x14ac:dyDescent="0.3">
      <c r="A1544" s="62">
        <v>2</v>
      </c>
      <c r="B1544" s="63" t="s">
        <v>80</v>
      </c>
      <c r="C1544" s="77">
        <v>70000</v>
      </c>
      <c r="D1544" s="78">
        <v>0.75</v>
      </c>
      <c r="E1544" s="79">
        <f>+(A1544*C1544)+(A1544*C1544*D1544)</f>
        <v>245000</v>
      </c>
      <c r="F1544" s="75">
        <v>35</v>
      </c>
      <c r="G1544" s="65">
        <f>ROUND(E1544/(F1544),2)</f>
        <v>7000</v>
      </c>
      <c r="H1544" s="73"/>
    </row>
    <row r="1545" spans="1:8" ht="17.2" customHeight="1" x14ac:dyDescent="0.3">
      <c r="A1545" s="63"/>
      <c r="B1545" s="63"/>
      <c r="C1545" s="63"/>
      <c r="D1545" s="63"/>
      <c r="E1545" s="64"/>
      <c r="F1545" s="64"/>
      <c r="G1545" s="64"/>
      <c r="H1545" s="73"/>
    </row>
    <row r="1546" spans="1:8" ht="17.2" customHeight="1" x14ac:dyDescent="0.3">
      <c r="A1546" s="70"/>
      <c r="E1546" s="71" t="s">
        <v>54</v>
      </c>
      <c r="F1546" s="71"/>
      <c r="G1546" s="71"/>
      <c r="H1546" s="72">
        <f>ROUND(SUM(G1543)+(G1544),2)</f>
        <v>13000</v>
      </c>
    </row>
    <row r="1547" spans="1:8" ht="17.2" customHeight="1" x14ac:dyDescent="0.3">
      <c r="A1547" s="61" t="s">
        <v>55</v>
      </c>
      <c r="B1547" s="525" t="s">
        <v>56</v>
      </c>
      <c r="C1547" s="526"/>
      <c r="D1547" s="526"/>
      <c r="E1547" s="526"/>
      <c r="F1547" s="526"/>
      <c r="G1547" s="527"/>
      <c r="H1547" s="73"/>
    </row>
    <row r="1548" spans="1:8" ht="17.2" customHeight="1" x14ac:dyDescent="0.3">
      <c r="A1548" s="63"/>
      <c r="B1548" s="63" t="s">
        <v>34</v>
      </c>
      <c r="C1548" s="62" t="s">
        <v>43</v>
      </c>
      <c r="D1548" s="62" t="s">
        <v>57</v>
      </c>
      <c r="E1548" s="62" t="s">
        <v>58</v>
      </c>
      <c r="F1548" s="62"/>
      <c r="G1548" s="64" t="s">
        <v>59</v>
      </c>
      <c r="H1548" s="73"/>
    </row>
    <row r="1549" spans="1:8" ht="17.2" customHeight="1" x14ac:dyDescent="0.3">
      <c r="A1549" s="63"/>
      <c r="B1549" s="63" t="s">
        <v>82</v>
      </c>
      <c r="C1549" s="80" t="s">
        <v>83</v>
      </c>
      <c r="D1549" s="63">
        <v>5.0000000000000001E-3</v>
      </c>
      <c r="E1549" s="64">
        <v>50000</v>
      </c>
      <c r="F1549" s="64"/>
      <c r="G1549" s="64">
        <f>D1549*E1549</f>
        <v>250</v>
      </c>
      <c r="H1549" s="73"/>
    </row>
    <row r="1550" spans="1:8" ht="17.2" customHeight="1" x14ac:dyDescent="0.3">
      <c r="A1550" s="63"/>
      <c r="B1550" s="63"/>
      <c r="C1550" s="81"/>
      <c r="D1550" s="63"/>
      <c r="E1550" s="64"/>
      <c r="F1550" s="64"/>
      <c r="G1550" s="64"/>
      <c r="H1550" s="73"/>
    </row>
    <row r="1551" spans="1:8" ht="17.2" customHeight="1" x14ac:dyDescent="0.3">
      <c r="A1551" s="63"/>
      <c r="B1551" s="63"/>
      <c r="C1551" s="63"/>
      <c r="D1551" s="63"/>
      <c r="E1551" s="64"/>
      <c r="F1551" s="64"/>
      <c r="G1551" s="64"/>
      <c r="H1551" s="73"/>
    </row>
    <row r="1552" spans="1:8" ht="17.2" customHeight="1" x14ac:dyDescent="0.3">
      <c r="A1552" s="70"/>
      <c r="E1552" s="71" t="s">
        <v>54</v>
      </c>
      <c r="F1552" s="71"/>
      <c r="G1552" s="71"/>
      <c r="H1552" s="119">
        <f>ROUND(SUM(G1549)+(G1550),0)</f>
        <v>250</v>
      </c>
    </row>
    <row r="1553" spans="1:8" ht="17.2" customHeight="1" x14ac:dyDescent="0.3">
      <c r="A1553" s="59"/>
      <c r="E1553" s="71"/>
      <c r="F1553" s="71"/>
      <c r="G1553" s="71"/>
      <c r="H1553" s="73"/>
    </row>
    <row r="1554" spans="1:8" ht="17.2" customHeight="1" x14ac:dyDescent="0.3">
      <c r="A1554" s="59"/>
      <c r="D1554" s="82" t="s">
        <v>60</v>
      </c>
      <c r="E1554" s="83"/>
      <c r="F1554" s="83"/>
      <c r="G1554" s="83"/>
      <c r="H1554" s="72">
        <f>ROUND(SUM(H1530:H1553),2)</f>
        <v>27480</v>
      </c>
    </row>
    <row r="1555" spans="1:8" ht="17.2" customHeight="1" x14ac:dyDescent="0.3">
      <c r="A1555" s="59"/>
      <c r="E1555" s="71"/>
      <c r="F1555" s="71"/>
      <c r="G1555" s="71"/>
      <c r="H1555" s="73"/>
    </row>
    <row r="1556" spans="1:8" ht="17.2" customHeight="1" x14ac:dyDescent="0.3">
      <c r="A1556" s="61" t="s">
        <v>61</v>
      </c>
      <c r="B1556" s="525" t="s">
        <v>62</v>
      </c>
      <c r="C1556" s="526"/>
      <c r="D1556" s="526"/>
      <c r="E1556" s="526"/>
      <c r="F1556" s="526"/>
      <c r="G1556" s="527"/>
      <c r="H1556" s="73"/>
    </row>
    <row r="1557" spans="1:8" ht="17.2" customHeight="1" x14ac:dyDescent="0.3">
      <c r="A1557" s="62"/>
      <c r="B1557" s="518" t="s">
        <v>34</v>
      </c>
      <c r="C1557" s="519"/>
      <c r="D1557" s="518" t="s">
        <v>63</v>
      </c>
      <c r="E1557" s="519"/>
      <c r="F1557" s="528" t="s">
        <v>64</v>
      </c>
      <c r="G1557" s="529"/>
      <c r="H1557" s="73"/>
    </row>
    <row r="1558" spans="1:8" ht="17.2" customHeight="1" x14ac:dyDescent="0.3">
      <c r="A1558" s="63"/>
      <c r="B1558" s="518" t="s">
        <v>20</v>
      </c>
      <c r="C1558" s="519"/>
      <c r="D1558" s="520">
        <v>0.28000000000000003</v>
      </c>
      <c r="E1558" s="519"/>
      <c r="F1558" s="521">
        <f>+H1554*D1558</f>
        <v>7694.4000000000005</v>
      </c>
      <c r="G1558" s="522"/>
      <c r="H1558" s="73"/>
    </row>
    <row r="1559" spans="1:8" ht="17.2" customHeight="1" x14ac:dyDescent="0.3">
      <c r="A1559" s="63"/>
      <c r="B1559" s="518" t="s">
        <v>21</v>
      </c>
      <c r="C1559" s="519"/>
      <c r="D1559" s="520">
        <v>0.01</v>
      </c>
      <c r="E1559" s="519"/>
      <c r="F1559" s="521">
        <f>+H1554*D1559</f>
        <v>274.8</v>
      </c>
      <c r="G1559" s="522"/>
      <c r="H1559" s="73"/>
    </row>
    <row r="1560" spans="1:8" ht="17.2" customHeight="1" x14ac:dyDescent="0.3">
      <c r="A1560" s="63"/>
      <c r="B1560" s="518" t="s">
        <v>22</v>
      </c>
      <c r="C1560" s="519"/>
      <c r="D1560" s="520">
        <v>0.03</v>
      </c>
      <c r="E1560" s="519"/>
      <c r="F1560" s="521">
        <f>+H1550*D1560</f>
        <v>0</v>
      </c>
      <c r="G1560" s="522"/>
      <c r="H1560" s="73"/>
    </row>
    <row r="1561" spans="1:8" ht="17.2" customHeight="1" x14ac:dyDescent="0.3">
      <c r="A1561" s="63"/>
      <c r="B1561" s="518" t="s">
        <v>188</v>
      </c>
      <c r="C1561" s="519"/>
      <c r="D1561" s="520">
        <v>0.19</v>
      </c>
      <c r="E1561" s="519"/>
      <c r="F1561" s="521">
        <f>D1561*F1560</f>
        <v>0</v>
      </c>
      <c r="G1561" s="522"/>
      <c r="H1561" s="73"/>
    </row>
    <row r="1562" spans="1:8" ht="17.2" customHeight="1" x14ac:dyDescent="0.3">
      <c r="A1562" s="59"/>
      <c r="D1562" s="82" t="s">
        <v>65</v>
      </c>
      <c r="E1562" s="83"/>
      <c r="F1562" s="83"/>
      <c r="G1562" s="83"/>
      <c r="H1562" s="72">
        <f>SUM(F1558:G1561)</f>
        <v>7969.2000000000007</v>
      </c>
    </row>
    <row r="1563" spans="1:8" ht="17.2" customHeight="1" x14ac:dyDescent="0.3">
      <c r="A1563" s="59"/>
      <c r="E1563" s="71"/>
      <c r="F1563" s="71"/>
      <c r="G1563" s="71"/>
      <c r="H1563" s="73"/>
    </row>
    <row r="1564" spans="1:8" ht="17.2" customHeight="1" x14ac:dyDescent="0.3">
      <c r="A1564" s="59"/>
      <c r="D1564" s="82" t="s">
        <v>66</v>
      </c>
      <c r="E1564" s="83"/>
      <c r="F1564" s="83"/>
      <c r="G1564" s="71"/>
      <c r="H1564" s="72">
        <f>H1550+H1562</f>
        <v>7969.2000000000007</v>
      </c>
    </row>
    <row r="1565" spans="1:8" ht="17.2" customHeight="1" x14ac:dyDescent="0.3">
      <c r="A1565" s="59"/>
      <c r="D1565" s="82"/>
      <c r="E1565" s="83"/>
      <c r="F1565" s="83"/>
      <c r="G1565" s="71"/>
      <c r="H1565" s="73"/>
    </row>
    <row r="1566" spans="1:8" ht="17.2" customHeight="1" x14ac:dyDescent="0.3">
      <c r="A1566" s="59"/>
      <c r="E1566" s="83"/>
      <c r="F1566" s="83"/>
      <c r="G1566" s="71"/>
      <c r="H1566" s="73"/>
    </row>
    <row r="1567" spans="1:8" ht="17.2" customHeight="1" x14ac:dyDescent="0.3">
      <c r="A1567" s="84"/>
      <c r="B1567" s="85"/>
      <c r="E1567" s="46"/>
      <c r="F1567" s="47"/>
      <c r="G1567" s="48"/>
      <c r="H1567" s="73"/>
    </row>
    <row r="1568" spans="1:8" ht="17.2" customHeight="1" x14ac:dyDescent="0.3">
      <c r="A1568" s="86" t="s">
        <v>67</v>
      </c>
      <c r="B1568" s="50" t="s">
        <v>68</v>
      </c>
      <c r="E1568" s="49" t="s">
        <v>27</v>
      </c>
      <c r="F1568" s="50"/>
      <c r="G1568" s="50"/>
      <c r="H1568" s="87"/>
    </row>
    <row r="1569" spans="1:8" ht="17.2" customHeight="1" x14ac:dyDescent="0.3">
      <c r="A1569" s="88" t="s">
        <v>28</v>
      </c>
      <c r="B1569" s="50"/>
      <c r="E1569" s="50" t="str">
        <f ca="1">+$E$52</f>
        <v>SECRETARIO DE PLANEACION Y OBRAS PUBLICAS</v>
      </c>
      <c r="F1569" s="50"/>
      <c r="G1569" s="50"/>
      <c r="H1569" s="87"/>
    </row>
    <row r="1570" spans="1:8" ht="17.2" customHeight="1" x14ac:dyDescent="0.3">
      <c r="A1570" s="88"/>
      <c r="B1570" s="50"/>
      <c r="E1570" s="50" t="str">
        <f ca="1">+$E$53</f>
        <v>SAN MIGUEL - PUTUMAYO</v>
      </c>
      <c r="F1570" s="50"/>
      <c r="G1570" s="50"/>
      <c r="H1570" s="87"/>
    </row>
    <row r="1571" spans="1:8" ht="17.2" customHeight="1" x14ac:dyDescent="0.3">
      <c r="A1571" s="50"/>
      <c r="B1571" s="50"/>
      <c r="E1571" s="50"/>
      <c r="F1571" s="50"/>
      <c r="G1571" s="50"/>
      <c r="H1571" s="50"/>
    </row>
    <row r="1572" spans="1:8" ht="17.2" customHeight="1" x14ac:dyDescent="0.3">
      <c r="A1572" s="50"/>
      <c r="B1572" s="50"/>
      <c r="E1572" s="50"/>
      <c r="F1572" s="50"/>
      <c r="G1572" s="50"/>
      <c r="H1572" s="50"/>
    </row>
    <row r="1573" spans="1:8" ht="17.2" customHeight="1" x14ac:dyDescent="0.3">
      <c r="A1573" s="50"/>
      <c r="B1573" s="50"/>
      <c r="E1573" s="50"/>
      <c r="F1573" s="50"/>
      <c r="G1573" s="50"/>
      <c r="H1573" s="50"/>
    </row>
    <row r="1574" spans="1:8" ht="17.2" customHeight="1" x14ac:dyDescent="0.3">
      <c r="A1574" s="50"/>
      <c r="B1574" s="50"/>
      <c r="E1574" s="50"/>
      <c r="F1574" s="50"/>
      <c r="G1574" s="50"/>
      <c r="H1574" s="50"/>
    </row>
    <row r="1575" spans="1:8" ht="17.2" customHeight="1" x14ac:dyDescent="0.3">
      <c r="A1575" s="50"/>
      <c r="B1575" s="50"/>
      <c r="E1575" s="50"/>
      <c r="F1575" s="50"/>
      <c r="G1575" s="50"/>
      <c r="H1575" s="50"/>
    </row>
    <row r="1576" spans="1:8" ht="17.2" customHeight="1" x14ac:dyDescent="0.3">
      <c r="A1576" s="50"/>
      <c r="B1576" s="50"/>
      <c r="E1576" s="50"/>
      <c r="F1576" s="50"/>
      <c r="G1576" s="50"/>
      <c r="H1576" s="50"/>
    </row>
    <row r="1577" spans="1:8" ht="17.2" customHeight="1" x14ac:dyDescent="0.3">
      <c r="A1577" s="50"/>
      <c r="B1577" s="50"/>
      <c r="E1577" s="50"/>
      <c r="F1577" s="50"/>
      <c r="G1577" s="50"/>
      <c r="H1577" s="50"/>
    </row>
    <row r="1578" spans="1:8" ht="17.2" customHeight="1" x14ac:dyDescent="0.3">
      <c r="A1578" s="556"/>
      <c r="B1578" s="557"/>
      <c r="C1578" s="380" t="s">
        <v>2</v>
      </c>
      <c r="D1578" s="382" t="s">
        <v>3</v>
      </c>
      <c r="E1578" s="383"/>
      <c r="F1578" s="1">
        <v>103</v>
      </c>
      <c r="G1578" s="548"/>
      <c r="H1578" s="549"/>
    </row>
    <row r="1579" spans="1:8" ht="17.2" customHeight="1" x14ac:dyDescent="0.3">
      <c r="A1579" s="558"/>
      <c r="B1579" s="559"/>
      <c r="C1579" s="381"/>
      <c r="D1579" s="396" t="s">
        <v>4</v>
      </c>
      <c r="E1579" s="397"/>
      <c r="F1579" s="400">
        <v>51</v>
      </c>
      <c r="G1579" s="550"/>
      <c r="H1579" s="551"/>
    </row>
    <row r="1580" spans="1:8" ht="17.2" customHeight="1" x14ac:dyDescent="0.3">
      <c r="A1580" s="558"/>
      <c r="B1580" s="559"/>
      <c r="C1580" s="5" t="s">
        <v>5</v>
      </c>
      <c r="D1580" s="398"/>
      <c r="E1580" s="399"/>
      <c r="F1580" s="401"/>
      <c r="G1580" s="550"/>
      <c r="H1580" s="551"/>
    </row>
    <row r="1581" spans="1:8" ht="26.85" customHeight="1" x14ac:dyDescent="0.3">
      <c r="A1581" s="558"/>
      <c r="B1581" s="559"/>
      <c r="C1581" s="55" t="s">
        <v>6</v>
      </c>
      <c r="D1581" s="402" t="s">
        <v>7</v>
      </c>
      <c r="E1581" s="403"/>
      <c r="F1581" s="7">
        <v>1</v>
      </c>
      <c r="G1581" s="550"/>
      <c r="H1581" s="551"/>
    </row>
    <row r="1582" spans="1:8" ht="17.2" customHeight="1" x14ac:dyDescent="0.3">
      <c r="A1582" s="558"/>
      <c r="B1582" s="559"/>
      <c r="C1582" s="530" t="s">
        <v>8</v>
      </c>
      <c r="D1582" s="532" t="s">
        <v>9</v>
      </c>
      <c r="E1582" s="533"/>
      <c r="F1582" s="5" t="s">
        <v>10</v>
      </c>
      <c r="G1582" s="550"/>
      <c r="H1582" s="551"/>
    </row>
    <row r="1583" spans="1:8" ht="17.2" customHeight="1" x14ac:dyDescent="0.3">
      <c r="A1583" s="560"/>
      <c r="B1583" s="561"/>
      <c r="C1583" s="531"/>
      <c r="D1583" s="534"/>
      <c r="E1583" s="535"/>
      <c r="F1583" s="8">
        <f>$F$6</f>
        <v>45402</v>
      </c>
      <c r="G1583" s="552"/>
      <c r="H1583" s="553"/>
    </row>
    <row r="1584" spans="1:8" ht="17.2" customHeight="1" thickBot="1" x14ac:dyDescent="0.35">
      <c r="A1584" s="536"/>
      <c r="B1584" s="537"/>
      <c r="C1584" s="537"/>
      <c r="D1584" s="537"/>
      <c r="E1584" s="537"/>
      <c r="F1584" s="537"/>
      <c r="G1584" s="537"/>
      <c r="H1584" s="538"/>
    </row>
    <row r="1585" spans="1:8" ht="28.15" customHeight="1" thickBot="1" x14ac:dyDescent="0.35">
      <c r="A1585" s="275">
        <v>4.1500000000000004</v>
      </c>
      <c r="B1585" s="539" t="str">
        <f>VLOOKUP(A1585,PRESUPUESTO!$A$14:$G$71,2,)</f>
        <v>Interrutor sencillo</v>
      </c>
      <c r="C1585" s="540"/>
      <c r="D1585" s="540"/>
      <c r="E1585" s="540"/>
      <c r="F1585" s="541"/>
      <c r="G1585" s="57" t="s">
        <v>31</v>
      </c>
      <c r="H1585" s="58" t="str">
        <f>VLOOKUP(A1585,PRESUPUESTO!$A$14:$G$71,4,)</f>
        <v>UND</v>
      </c>
    </row>
    <row r="1586" spans="1:8" ht="17.2" customHeight="1" x14ac:dyDescent="0.3">
      <c r="A1586" s="59"/>
      <c r="H1586" s="60"/>
    </row>
    <row r="1587" spans="1:8" ht="17.2" customHeight="1" x14ac:dyDescent="0.3">
      <c r="A1587" s="61" t="s">
        <v>32</v>
      </c>
      <c r="B1587" s="525" t="s">
        <v>33</v>
      </c>
      <c r="C1587" s="526"/>
      <c r="D1587" s="526"/>
      <c r="E1587" s="526"/>
      <c r="F1587" s="526"/>
      <c r="G1587" s="527"/>
      <c r="H1587" s="60"/>
    </row>
    <row r="1588" spans="1:8" ht="17.2" customHeight="1" x14ac:dyDescent="0.3">
      <c r="A1588" s="62"/>
      <c r="B1588" s="518" t="s">
        <v>34</v>
      </c>
      <c r="C1588" s="519"/>
      <c r="D1588" s="62" t="s">
        <v>35</v>
      </c>
      <c r="E1588" s="62" t="s">
        <v>69</v>
      </c>
      <c r="F1588" s="62" t="s">
        <v>70</v>
      </c>
      <c r="G1588" s="62" t="s">
        <v>38</v>
      </c>
      <c r="H1588" s="60"/>
    </row>
    <row r="1589" spans="1:8" ht="17.2" customHeight="1" x14ac:dyDescent="0.3">
      <c r="A1589" s="63"/>
      <c r="B1589" s="542" t="s">
        <v>39</v>
      </c>
      <c r="C1589" s="543"/>
      <c r="D1589" s="63"/>
      <c r="E1589" s="64"/>
      <c r="F1589" s="64">
        <v>0.1</v>
      </c>
      <c r="G1589" s="65">
        <f>ROUND(H1607*F1589,2)</f>
        <v>568.75</v>
      </c>
      <c r="H1589" s="66"/>
    </row>
    <row r="1590" spans="1:8" ht="17.2" customHeight="1" x14ac:dyDescent="0.3">
      <c r="A1590" s="63"/>
      <c r="B1590" s="542"/>
      <c r="C1590" s="543"/>
      <c r="D1590" s="62"/>
      <c r="E1590" s="68"/>
      <c r="F1590" s="64"/>
      <c r="G1590" s="69"/>
      <c r="H1590" s="66"/>
    </row>
    <row r="1591" spans="1:8" ht="17.2" customHeight="1" x14ac:dyDescent="0.3">
      <c r="A1591" s="70"/>
      <c r="E1591" s="71" t="s">
        <v>40</v>
      </c>
      <c r="F1591" s="71"/>
      <c r="G1591" s="71"/>
      <c r="H1591" s="72">
        <f>ROUND(SUM(G1589:G1590),2)</f>
        <v>568.75</v>
      </c>
    </row>
    <row r="1592" spans="1:8" ht="17.2" customHeight="1" x14ac:dyDescent="0.3">
      <c r="A1592" s="61" t="s">
        <v>41</v>
      </c>
      <c r="B1592" s="525" t="s">
        <v>42</v>
      </c>
      <c r="C1592" s="526"/>
      <c r="D1592" s="526"/>
      <c r="E1592" s="526"/>
      <c r="F1592" s="526"/>
      <c r="G1592" s="527"/>
      <c r="H1592" s="73"/>
    </row>
    <row r="1593" spans="1:8" ht="17.2" customHeight="1" x14ac:dyDescent="0.3">
      <c r="A1593" s="62"/>
      <c r="B1593" s="518" t="s">
        <v>34</v>
      </c>
      <c r="C1593" s="519"/>
      <c r="D1593" s="62" t="s">
        <v>43</v>
      </c>
      <c r="E1593" s="74" t="s">
        <v>44</v>
      </c>
      <c r="F1593" s="74" t="s">
        <v>45</v>
      </c>
      <c r="G1593" s="74" t="s">
        <v>38</v>
      </c>
      <c r="H1593" s="73"/>
    </row>
    <row r="1594" spans="1:8" ht="19.149999999999999" customHeight="1" x14ac:dyDescent="0.3">
      <c r="A1594" s="63"/>
      <c r="B1594" s="554" t="s">
        <v>311</v>
      </c>
      <c r="C1594" s="555"/>
      <c r="D1594" s="93" t="s">
        <v>218</v>
      </c>
      <c r="E1594" s="94">
        <v>1</v>
      </c>
      <c r="F1594" s="272">
        <v>12000</v>
      </c>
      <c r="G1594" s="120">
        <f>ROUND(E1594*F1594,2)</f>
        <v>12000</v>
      </c>
      <c r="H1594" s="73"/>
    </row>
    <row r="1595" spans="1:8" ht="17.2" customHeight="1" x14ac:dyDescent="0.3">
      <c r="A1595" s="63"/>
      <c r="B1595" s="523" t="s">
        <v>309</v>
      </c>
      <c r="C1595" s="524"/>
      <c r="D1595" s="93" t="s">
        <v>218</v>
      </c>
      <c r="E1595" s="94">
        <v>1</v>
      </c>
      <c r="F1595" s="272">
        <v>3000</v>
      </c>
      <c r="G1595" s="67">
        <f t="shared" ref="G1595" si="17">ROUND(E1595*F1595,2)</f>
        <v>3000</v>
      </c>
      <c r="H1595" s="73"/>
    </row>
    <row r="1596" spans="1:8" ht="17.2" customHeight="1" x14ac:dyDescent="0.3">
      <c r="A1596" s="63" t="s">
        <v>46</v>
      </c>
      <c r="B1596" s="523"/>
      <c r="C1596" s="524"/>
      <c r="D1596" s="93"/>
      <c r="E1596" s="94"/>
      <c r="F1596" s="95"/>
      <c r="G1596" s="67"/>
      <c r="H1596" s="73"/>
    </row>
    <row r="1597" spans="1:8" ht="17.2" customHeight="1" x14ac:dyDescent="0.3">
      <c r="A1597" s="63"/>
      <c r="B1597" s="546"/>
      <c r="C1597" s="547"/>
      <c r="D1597" s="270"/>
      <c r="E1597" s="270"/>
      <c r="F1597" s="95"/>
      <c r="G1597" s="67"/>
      <c r="H1597" s="73"/>
    </row>
    <row r="1598" spans="1:8" ht="17.2" customHeight="1" x14ac:dyDescent="0.3">
      <c r="A1598" s="63"/>
      <c r="B1598" s="546"/>
      <c r="C1598" s="547"/>
      <c r="D1598" s="270"/>
      <c r="E1598" s="270"/>
      <c r="F1598" s="95"/>
      <c r="G1598" s="67"/>
      <c r="H1598" s="73"/>
    </row>
    <row r="1599" spans="1:8" ht="17.2" customHeight="1" x14ac:dyDescent="0.3">
      <c r="A1599" s="63"/>
      <c r="B1599" s="523"/>
      <c r="C1599" s="524"/>
      <c r="D1599" s="93"/>
      <c r="E1599" s="94"/>
      <c r="F1599" s="95"/>
      <c r="G1599" s="67"/>
      <c r="H1599" s="73"/>
    </row>
    <row r="1600" spans="1:8" ht="17.2" customHeight="1" x14ac:dyDescent="0.3">
      <c r="A1600" s="63"/>
      <c r="B1600" s="523"/>
      <c r="C1600" s="524"/>
      <c r="D1600" s="93"/>
      <c r="E1600" s="94"/>
      <c r="F1600" s="95"/>
      <c r="G1600" s="67"/>
      <c r="H1600" s="73"/>
    </row>
    <row r="1601" spans="1:8" ht="17.2" customHeight="1" x14ac:dyDescent="0.3">
      <c r="A1601" s="70" t="s">
        <v>46</v>
      </c>
      <c r="E1601" s="71" t="s">
        <v>47</v>
      </c>
      <c r="F1601" s="71"/>
      <c r="G1601" s="71"/>
      <c r="H1601" s="76">
        <f>ROUND(SUM(G1594:G1600),2)</f>
        <v>15000</v>
      </c>
    </row>
    <row r="1602" spans="1:8" ht="17.2" customHeight="1" x14ac:dyDescent="0.3">
      <c r="A1602" s="61" t="s">
        <v>48</v>
      </c>
      <c r="B1602" s="525" t="s">
        <v>49</v>
      </c>
      <c r="C1602" s="526"/>
      <c r="D1602" s="526"/>
      <c r="E1602" s="526"/>
      <c r="F1602" s="526"/>
      <c r="G1602" s="527"/>
      <c r="H1602" s="73"/>
    </row>
    <row r="1603" spans="1:8" ht="17.2" customHeight="1" x14ac:dyDescent="0.3">
      <c r="A1603" s="62" t="s">
        <v>50</v>
      </c>
      <c r="B1603" s="62" t="s">
        <v>34</v>
      </c>
      <c r="C1603" s="62" t="s">
        <v>51</v>
      </c>
      <c r="D1603" s="62" t="s">
        <v>52</v>
      </c>
      <c r="E1603" s="74" t="s">
        <v>53</v>
      </c>
      <c r="F1603" s="64" t="s">
        <v>260</v>
      </c>
      <c r="G1603" s="64" t="s">
        <v>38</v>
      </c>
      <c r="H1603" s="73"/>
    </row>
    <row r="1604" spans="1:8" ht="17.2" customHeight="1" x14ac:dyDescent="0.3">
      <c r="A1604" s="62">
        <v>1</v>
      </c>
      <c r="B1604" s="63" t="s">
        <v>79</v>
      </c>
      <c r="C1604" s="77">
        <v>120000</v>
      </c>
      <c r="D1604" s="78">
        <v>0.75</v>
      </c>
      <c r="E1604" s="79">
        <f>+(A1604*C1604)+(A1604*C1604*D1604)</f>
        <v>210000</v>
      </c>
      <c r="F1604" s="75">
        <v>80</v>
      </c>
      <c r="G1604" s="65">
        <f>ROUND(E1604/(F1604),2)</f>
        <v>2625</v>
      </c>
      <c r="H1604" s="73"/>
    </row>
    <row r="1605" spans="1:8" ht="17.2" customHeight="1" x14ac:dyDescent="0.3">
      <c r="A1605" s="62">
        <v>2</v>
      </c>
      <c r="B1605" s="63" t="s">
        <v>80</v>
      </c>
      <c r="C1605" s="77">
        <v>70000</v>
      </c>
      <c r="D1605" s="78">
        <v>0.75</v>
      </c>
      <c r="E1605" s="79">
        <f>+(A1605*C1605)+(A1605*C1605*D1605)</f>
        <v>245000</v>
      </c>
      <c r="F1605" s="75">
        <v>80</v>
      </c>
      <c r="G1605" s="65">
        <f>ROUND(E1605/(F1605),2)</f>
        <v>3062.5</v>
      </c>
      <c r="H1605" s="73"/>
    </row>
    <row r="1606" spans="1:8" ht="17.2" customHeight="1" x14ac:dyDescent="0.3">
      <c r="A1606" s="63"/>
      <c r="B1606" s="63"/>
      <c r="C1606" s="63"/>
      <c r="D1606" s="63"/>
      <c r="E1606" s="64"/>
      <c r="F1606" s="64"/>
      <c r="G1606" s="64"/>
      <c r="H1606" s="73"/>
    </row>
    <row r="1607" spans="1:8" ht="17.2" customHeight="1" x14ac:dyDescent="0.3">
      <c r="A1607" s="70"/>
      <c r="E1607" s="71" t="s">
        <v>54</v>
      </c>
      <c r="F1607" s="71"/>
      <c r="G1607" s="71"/>
      <c r="H1607" s="72">
        <f>ROUND(SUM(G1604)+(G1605),2)</f>
        <v>5687.5</v>
      </c>
    </row>
    <row r="1608" spans="1:8" ht="17.2" customHeight="1" x14ac:dyDescent="0.3">
      <c r="A1608" s="61" t="s">
        <v>55</v>
      </c>
      <c r="B1608" s="525" t="s">
        <v>56</v>
      </c>
      <c r="C1608" s="526"/>
      <c r="D1608" s="526"/>
      <c r="E1608" s="526"/>
      <c r="F1608" s="526"/>
      <c r="G1608" s="527"/>
      <c r="H1608" s="73"/>
    </row>
    <row r="1609" spans="1:8" ht="17.2" customHeight="1" x14ac:dyDescent="0.3">
      <c r="A1609" s="63"/>
      <c r="B1609" s="63" t="s">
        <v>34</v>
      </c>
      <c r="C1609" s="62" t="s">
        <v>43</v>
      </c>
      <c r="D1609" s="62" t="s">
        <v>57</v>
      </c>
      <c r="E1609" s="62" t="s">
        <v>58</v>
      </c>
      <c r="F1609" s="62"/>
      <c r="G1609" s="64" t="s">
        <v>59</v>
      </c>
      <c r="H1609" s="73"/>
    </row>
    <row r="1610" spans="1:8" ht="17.2" customHeight="1" x14ac:dyDescent="0.3">
      <c r="A1610" s="63"/>
      <c r="B1610" s="63" t="s">
        <v>82</v>
      </c>
      <c r="C1610" s="80" t="s">
        <v>83</v>
      </c>
      <c r="D1610" s="63">
        <v>5.0000000000000001E-3</v>
      </c>
      <c r="E1610" s="64">
        <v>50000</v>
      </c>
      <c r="F1610" s="64"/>
      <c r="G1610" s="64">
        <f>D1610*E1610</f>
        <v>250</v>
      </c>
      <c r="H1610" s="73"/>
    </row>
    <row r="1611" spans="1:8" ht="17.2" customHeight="1" x14ac:dyDescent="0.3">
      <c r="A1611" s="63"/>
      <c r="B1611" s="63"/>
      <c r="C1611" s="81"/>
      <c r="D1611" s="63"/>
      <c r="E1611" s="64"/>
      <c r="F1611" s="64"/>
      <c r="G1611" s="64"/>
      <c r="H1611" s="73"/>
    </row>
    <row r="1612" spans="1:8" ht="17.2" customHeight="1" x14ac:dyDescent="0.3">
      <c r="A1612" s="63"/>
      <c r="B1612" s="63"/>
      <c r="C1612" s="63"/>
      <c r="D1612" s="63"/>
      <c r="E1612" s="64"/>
      <c r="F1612" s="64"/>
      <c r="G1612" s="64"/>
      <c r="H1612" s="73"/>
    </row>
    <row r="1613" spans="1:8" ht="17.2" customHeight="1" x14ac:dyDescent="0.3">
      <c r="A1613" s="70"/>
      <c r="E1613" s="71" t="s">
        <v>54</v>
      </c>
      <c r="F1613" s="71"/>
      <c r="G1613" s="71"/>
      <c r="H1613" s="119">
        <f>ROUND(SUM(G1610)+(G1611),0)</f>
        <v>250</v>
      </c>
    </row>
    <row r="1614" spans="1:8" ht="17.2" customHeight="1" x14ac:dyDescent="0.3">
      <c r="A1614" s="59"/>
      <c r="E1614" s="71"/>
      <c r="F1614" s="71"/>
      <c r="G1614" s="71"/>
      <c r="H1614" s="73"/>
    </row>
    <row r="1615" spans="1:8" ht="17.2" customHeight="1" x14ac:dyDescent="0.3">
      <c r="A1615" s="59"/>
      <c r="D1615" s="82" t="s">
        <v>60</v>
      </c>
      <c r="E1615" s="83"/>
      <c r="F1615" s="83"/>
      <c r="G1615" s="83"/>
      <c r="H1615" s="72">
        <f>ROUND(SUM(H1591:H1614),2)</f>
        <v>21506.25</v>
      </c>
    </row>
    <row r="1616" spans="1:8" ht="17.2" customHeight="1" x14ac:dyDescent="0.3">
      <c r="A1616" s="59"/>
      <c r="E1616" s="71"/>
      <c r="F1616" s="71"/>
      <c r="G1616" s="71"/>
      <c r="H1616" s="73"/>
    </row>
    <row r="1617" spans="1:8" ht="17.2" customHeight="1" x14ac:dyDescent="0.3">
      <c r="A1617" s="61" t="s">
        <v>61</v>
      </c>
      <c r="B1617" s="525" t="s">
        <v>62</v>
      </c>
      <c r="C1617" s="526"/>
      <c r="D1617" s="526"/>
      <c r="E1617" s="526"/>
      <c r="F1617" s="526"/>
      <c r="G1617" s="527"/>
      <c r="H1617" s="73"/>
    </row>
    <row r="1618" spans="1:8" ht="17.2" customHeight="1" x14ac:dyDescent="0.3">
      <c r="A1618" s="62"/>
      <c r="B1618" s="518" t="s">
        <v>34</v>
      </c>
      <c r="C1618" s="519"/>
      <c r="D1618" s="518" t="s">
        <v>63</v>
      </c>
      <c r="E1618" s="519"/>
      <c r="F1618" s="528" t="s">
        <v>64</v>
      </c>
      <c r="G1618" s="529"/>
      <c r="H1618" s="73"/>
    </row>
    <row r="1619" spans="1:8" ht="17.2" customHeight="1" x14ac:dyDescent="0.3">
      <c r="A1619" s="63"/>
      <c r="B1619" s="518" t="s">
        <v>20</v>
      </c>
      <c r="C1619" s="519"/>
      <c r="D1619" s="520">
        <v>0.28000000000000003</v>
      </c>
      <c r="E1619" s="519"/>
      <c r="F1619" s="521">
        <f>+H1615*D1619</f>
        <v>6021.7500000000009</v>
      </c>
      <c r="G1619" s="522"/>
      <c r="H1619" s="73"/>
    </row>
    <row r="1620" spans="1:8" ht="17.2" customHeight="1" x14ac:dyDescent="0.3">
      <c r="A1620" s="63"/>
      <c r="B1620" s="518" t="s">
        <v>21</v>
      </c>
      <c r="C1620" s="519"/>
      <c r="D1620" s="520">
        <v>0.01</v>
      </c>
      <c r="E1620" s="519"/>
      <c r="F1620" s="521">
        <f>+H1615*D1620</f>
        <v>215.0625</v>
      </c>
      <c r="G1620" s="522"/>
      <c r="H1620" s="73"/>
    </row>
    <row r="1621" spans="1:8" ht="17.2" customHeight="1" x14ac:dyDescent="0.3">
      <c r="A1621" s="63"/>
      <c r="B1621" s="518" t="s">
        <v>22</v>
      </c>
      <c r="C1621" s="519"/>
      <c r="D1621" s="520">
        <v>0.03</v>
      </c>
      <c r="E1621" s="519"/>
      <c r="F1621" s="521">
        <f>+H1615*D1621</f>
        <v>645.1875</v>
      </c>
      <c r="G1621" s="522"/>
      <c r="H1621" s="73"/>
    </row>
    <row r="1622" spans="1:8" ht="17.2" customHeight="1" x14ac:dyDescent="0.3">
      <c r="A1622" s="63"/>
      <c r="B1622" s="518" t="s">
        <v>188</v>
      </c>
      <c r="C1622" s="519"/>
      <c r="D1622" s="520">
        <v>0.19</v>
      </c>
      <c r="E1622" s="519"/>
      <c r="F1622" s="521">
        <f>D1622*F1621</f>
        <v>122.58562500000001</v>
      </c>
      <c r="G1622" s="522"/>
      <c r="H1622" s="73"/>
    </row>
    <row r="1623" spans="1:8" ht="17.2" customHeight="1" x14ac:dyDescent="0.3">
      <c r="A1623" s="59"/>
      <c r="D1623" s="82" t="s">
        <v>65</v>
      </c>
      <c r="E1623" s="83"/>
      <c r="F1623" s="83"/>
      <c r="G1623" s="83"/>
      <c r="H1623" s="72">
        <f>SUM(F1619:G1622)</f>
        <v>7004.5856250000006</v>
      </c>
    </row>
    <row r="1624" spans="1:8" ht="17.2" customHeight="1" x14ac:dyDescent="0.3">
      <c r="A1624" s="59"/>
      <c r="E1624" s="71"/>
      <c r="F1624" s="71"/>
      <c r="G1624" s="71"/>
      <c r="H1624" s="73"/>
    </row>
    <row r="1625" spans="1:8" ht="17.2" customHeight="1" x14ac:dyDescent="0.3">
      <c r="A1625" s="59"/>
      <c r="D1625" s="82" t="s">
        <v>66</v>
      </c>
      <c r="E1625" s="83"/>
      <c r="F1625" s="83"/>
      <c r="G1625" s="71"/>
      <c r="H1625" s="72">
        <f>H1615+H1623</f>
        <v>28510.835625</v>
      </c>
    </row>
    <row r="1626" spans="1:8" ht="17.2" customHeight="1" x14ac:dyDescent="0.3">
      <c r="A1626" s="59"/>
      <c r="D1626" s="82"/>
      <c r="E1626" s="83"/>
      <c r="F1626" s="83"/>
      <c r="G1626" s="71"/>
      <c r="H1626" s="73"/>
    </row>
    <row r="1627" spans="1:8" ht="17.2" customHeight="1" x14ac:dyDescent="0.3">
      <c r="A1627" s="59"/>
      <c r="E1627" s="83"/>
      <c r="F1627" s="83"/>
      <c r="G1627" s="71"/>
      <c r="H1627" s="73"/>
    </row>
    <row r="1628" spans="1:8" ht="17.2" customHeight="1" x14ac:dyDescent="0.3">
      <c r="A1628" s="84"/>
      <c r="B1628" s="85"/>
      <c r="E1628" s="46"/>
      <c r="F1628" s="47"/>
      <c r="G1628" s="48"/>
      <c r="H1628" s="73"/>
    </row>
    <row r="1629" spans="1:8" ht="17.2" customHeight="1" x14ac:dyDescent="0.3">
      <c r="A1629" s="86" t="s">
        <v>67</v>
      </c>
      <c r="B1629" s="50" t="s">
        <v>68</v>
      </c>
      <c r="E1629" s="49" t="s">
        <v>27</v>
      </c>
      <c r="F1629" s="50"/>
      <c r="G1629" s="50"/>
      <c r="H1629" s="87"/>
    </row>
    <row r="1630" spans="1:8" ht="17.2" customHeight="1" x14ac:dyDescent="0.3">
      <c r="A1630" s="88" t="s">
        <v>28</v>
      </c>
      <c r="B1630" s="50"/>
      <c r="E1630" s="50" t="str">
        <f ca="1">+$E$52</f>
        <v>SECRETARIO DE PLANEACION Y OBRAS PUBLICAS</v>
      </c>
      <c r="F1630" s="50"/>
      <c r="G1630" s="50"/>
      <c r="H1630" s="87"/>
    </row>
    <row r="1631" spans="1:8" ht="17.2" customHeight="1" x14ac:dyDescent="0.3">
      <c r="A1631" s="88"/>
      <c r="B1631" s="50"/>
      <c r="E1631" s="50" t="str">
        <f ca="1">+$E$53</f>
        <v>SAN MIGUEL - PUTUMAYO</v>
      </c>
      <c r="F1631" s="50"/>
      <c r="G1631" s="50"/>
      <c r="H1631" s="87"/>
    </row>
    <row r="1632" spans="1:8" ht="17.2" customHeight="1" x14ac:dyDescent="0.3">
      <c r="A1632" s="50"/>
      <c r="B1632" s="50"/>
      <c r="E1632" s="50"/>
      <c r="F1632" s="50"/>
      <c r="G1632" s="50"/>
      <c r="H1632" s="50"/>
    </row>
    <row r="1633" spans="1:8" ht="17.2" customHeight="1" x14ac:dyDescent="0.3">
      <c r="A1633" s="556"/>
      <c r="B1633" s="557"/>
      <c r="C1633" s="380" t="s">
        <v>2</v>
      </c>
      <c r="D1633" s="382" t="s">
        <v>3</v>
      </c>
      <c r="E1633" s="383"/>
      <c r="F1633" s="1">
        <v>103</v>
      </c>
      <c r="G1633" s="548"/>
      <c r="H1633" s="549"/>
    </row>
    <row r="1634" spans="1:8" ht="17.2" customHeight="1" x14ac:dyDescent="0.3">
      <c r="A1634" s="558"/>
      <c r="B1634" s="559"/>
      <c r="C1634" s="381"/>
      <c r="D1634" s="396" t="s">
        <v>4</v>
      </c>
      <c r="E1634" s="397"/>
      <c r="F1634" s="400">
        <v>51</v>
      </c>
      <c r="G1634" s="550"/>
      <c r="H1634" s="551"/>
    </row>
    <row r="1635" spans="1:8" ht="17.2" customHeight="1" x14ac:dyDescent="0.3">
      <c r="A1635" s="558"/>
      <c r="B1635" s="559"/>
      <c r="C1635" s="5" t="s">
        <v>5</v>
      </c>
      <c r="D1635" s="398"/>
      <c r="E1635" s="399"/>
      <c r="F1635" s="401"/>
      <c r="G1635" s="550"/>
      <c r="H1635" s="551"/>
    </row>
    <row r="1636" spans="1:8" ht="26.85" customHeight="1" x14ac:dyDescent="0.3">
      <c r="A1636" s="558"/>
      <c r="B1636" s="559"/>
      <c r="C1636" s="55" t="s">
        <v>6</v>
      </c>
      <c r="D1636" s="402" t="s">
        <v>7</v>
      </c>
      <c r="E1636" s="403"/>
      <c r="F1636" s="7">
        <v>1</v>
      </c>
      <c r="G1636" s="550"/>
      <c r="H1636" s="551"/>
    </row>
    <row r="1637" spans="1:8" ht="17.2" customHeight="1" x14ac:dyDescent="0.3">
      <c r="A1637" s="558"/>
      <c r="B1637" s="559"/>
      <c r="C1637" s="530" t="s">
        <v>8</v>
      </c>
      <c r="D1637" s="532" t="s">
        <v>9</v>
      </c>
      <c r="E1637" s="533"/>
      <c r="F1637" s="5" t="s">
        <v>10</v>
      </c>
      <c r="G1637" s="550"/>
      <c r="H1637" s="551"/>
    </row>
    <row r="1638" spans="1:8" ht="17.2" customHeight="1" x14ac:dyDescent="0.3">
      <c r="A1638" s="560"/>
      <c r="B1638" s="561"/>
      <c r="C1638" s="531"/>
      <c r="D1638" s="534"/>
      <c r="E1638" s="535"/>
      <c r="F1638" s="8">
        <f>$F$6</f>
        <v>45402</v>
      </c>
      <c r="G1638" s="552"/>
      <c r="H1638" s="553"/>
    </row>
    <row r="1639" spans="1:8" ht="17.2" customHeight="1" thickBot="1" x14ac:dyDescent="0.35">
      <c r="A1639" s="536"/>
      <c r="B1639" s="537"/>
      <c r="C1639" s="537"/>
      <c r="D1639" s="537"/>
      <c r="E1639" s="537"/>
      <c r="F1639" s="537"/>
      <c r="G1639" s="537"/>
      <c r="H1639" s="538"/>
    </row>
    <row r="1640" spans="1:8" ht="28.15" customHeight="1" thickBot="1" x14ac:dyDescent="0.35">
      <c r="A1640" s="275">
        <v>4.16</v>
      </c>
      <c r="B1640" s="539" t="str">
        <f>VLOOKUP(A1640,PRESUPUESTO!$A$14:$G$71,2,)</f>
        <v>Tomacorriente doble.</v>
      </c>
      <c r="C1640" s="540"/>
      <c r="D1640" s="540"/>
      <c r="E1640" s="540"/>
      <c r="F1640" s="541"/>
      <c r="G1640" s="57" t="s">
        <v>31</v>
      </c>
      <c r="H1640" s="58" t="str">
        <f>VLOOKUP(A1640,PRESUPUESTO!$A$14:$G$71,4,)</f>
        <v>UND</v>
      </c>
    </row>
    <row r="1641" spans="1:8" ht="17.2" customHeight="1" x14ac:dyDescent="0.3">
      <c r="A1641" s="59"/>
      <c r="H1641" s="60"/>
    </row>
    <row r="1642" spans="1:8" ht="17.2" customHeight="1" x14ac:dyDescent="0.3">
      <c r="A1642" s="61" t="s">
        <v>32</v>
      </c>
      <c r="B1642" s="525" t="s">
        <v>33</v>
      </c>
      <c r="C1642" s="526"/>
      <c r="D1642" s="526"/>
      <c r="E1642" s="526"/>
      <c r="F1642" s="526"/>
      <c r="G1642" s="527"/>
      <c r="H1642" s="60"/>
    </row>
    <row r="1643" spans="1:8" ht="17.2" customHeight="1" x14ac:dyDescent="0.3">
      <c r="A1643" s="62"/>
      <c r="B1643" s="518" t="s">
        <v>34</v>
      </c>
      <c r="C1643" s="519"/>
      <c r="D1643" s="62" t="s">
        <v>35</v>
      </c>
      <c r="E1643" s="62" t="s">
        <v>69</v>
      </c>
      <c r="F1643" s="62" t="s">
        <v>70</v>
      </c>
      <c r="G1643" s="62" t="s">
        <v>38</v>
      </c>
      <c r="H1643" s="60"/>
    </row>
    <row r="1644" spans="1:8" ht="17.2" customHeight="1" x14ac:dyDescent="0.3">
      <c r="A1644" s="63"/>
      <c r="B1644" s="542" t="s">
        <v>39</v>
      </c>
      <c r="C1644" s="543"/>
      <c r="D1644" s="63"/>
      <c r="E1644" s="64"/>
      <c r="F1644" s="64">
        <v>0.1</v>
      </c>
      <c r="G1644" s="65">
        <f>ROUND(H1662*F1644,2)</f>
        <v>568.75</v>
      </c>
      <c r="H1644" s="66"/>
    </row>
    <row r="1645" spans="1:8" ht="17.2" customHeight="1" x14ac:dyDescent="0.3">
      <c r="A1645" s="63"/>
      <c r="B1645" s="542"/>
      <c r="C1645" s="543"/>
      <c r="D1645" s="62"/>
      <c r="E1645" s="68"/>
      <c r="F1645" s="64"/>
      <c r="G1645" s="69"/>
      <c r="H1645" s="66"/>
    </row>
    <row r="1646" spans="1:8" ht="17.2" customHeight="1" x14ac:dyDescent="0.3">
      <c r="A1646" s="70"/>
      <c r="E1646" s="71" t="s">
        <v>40</v>
      </c>
      <c r="F1646" s="71"/>
      <c r="G1646" s="71"/>
      <c r="H1646" s="72">
        <f>ROUND(SUM(G1644:G1645),2)</f>
        <v>568.75</v>
      </c>
    </row>
    <row r="1647" spans="1:8" ht="17.2" customHeight="1" x14ac:dyDescent="0.3">
      <c r="A1647" s="61" t="s">
        <v>41</v>
      </c>
      <c r="B1647" s="525" t="s">
        <v>42</v>
      </c>
      <c r="C1647" s="526"/>
      <c r="D1647" s="526"/>
      <c r="E1647" s="526"/>
      <c r="F1647" s="526"/>
      <c r="G1647" s="527"/>
      <c r="H1647" s="73"/>
    </row>
    <row r="1648" spans="1:8" ht="17.2" customHeight="1" x14ac:dyDescent="0.3">
      <c r="A1648" s="62"/>
      <c r="B1648" s="518" t="s">
        <v>34</v>
      </c>
      <c r="C1648" s="519"/>
      <c r="D1648" s="62" t="s">
        <v>43</v>
      </c>
      <c r="E1648" s="74" t="s">
        <v>44</v>
      </c>
      <c r="F1648" s="74" t="s">
        <v>45</v>
      </c>
      <c r="G1648" s="74" t="s">
        <v>38</v>
      </c>
      <c r="H1648" s="73"/>
    </row>
    <row r="1649" spans="1:8" ht="19.149999999999999" customHeight="1" x14ac:dyDescent="0.3">
      <c r="A1649" s="63"/>
      <c r="B1649" s="554" t="s">
        <v>312</v>
      </c>
      <c r="C1649" s="555"/>
      <c r="D1649" s="93" t="s">
        <v>218</v>
      </c>
      <c r="E1649" s="94">
        <v>1</v>
      </c>
      <c r="F1649" s="272">
        <v>12000</v>
      </c>
      <c r="G1649" s="120">
        <f>ROUND(E1649*F1649,2)</f>
        <v>12000</v>
      </c>
      <c r="H1649" s="73"/>
    </row>
    <row r="1650" spans="1:8" ht="17.2" customHeight="1" x14ac:dyDescent="0.3">
      <c r="A1650" s="63"/>
      <c r="B1650" s="523" t="s">
        <v>309</v>
      </c>
      <c r="C1650" s="524"/>
      <c r="D1650" s="93" t="s">
        <v>218</v>
      </c>
      <c r="E1650" s="94">
        <v>1</v>
      </c>
      <c r="F1650" s="272">
        <v>2500</v>
      </c>
      <c r="G1650" s="67">
        <f t="shared" ref="G1650" si="18">ROUND(E1650*F1650,2)</f>
        <v>2500</v>
      </c>
      <c r="H1650" s="73"/>
    </row>
    <row r="1651" spans="1:8" ht="17.2" customHeight="1" x14ac:dyDescent="0.3">
      <c r="A1651" s="63" t="s">
        <v>46</v>
      </c>
      <c r="B1651" s="523"/>
      <c r="C1651" s="524"/>
      <c r="D1651" s="93"/>
      <c r="E1651" s="94"/>
      <c r="F1651" s="95"/>
      <c r="G1651" s="67"/>
      <c r="H1651" s="73"/>
    </row>
    <row r="1652" spans="1:8" ht="17.2" customHeight="1" x14ac:dyDescent="0.3">
      <c r="A1652" s="63"/>
      <c r="B1652" s="546"/>
      <c r="C1652" s="547"/>
      <c r="D1652" s="270"/>
      <c r="E1652" s="270"/>
      <c r="F1652" s="95"/>
      <c r="G1652" s="67"/>
      <c r="H1652" s="73"/>
    </row>
    <row r="1653" spans="1:8" ht="17.2" customHeight="1" x14ac:dyDescent="0.3">
      <c r="A1653" s="63"/>
      <c r="B1653" s="546"/>
      <c r="C1653" s="547"/>
      <c r="D1653" s="270"/>
      <c r="E1653" s="270"/>
      <c r="F1653" s="95"/>
      <c r="G1653" s="67"/>
      <c r="H1653" s="73"/>
    </row>
    <row r="1654" spans="1:8" ht="17.2" customHeight="1" x14ac:dyDescent="0.3">
      <c r="A1654" s="63"/>
      <c r="B1654" s="523"/>
      <c r="C1654" s="524"/>
      <c r="D1654" s="93"/>
      <c r="E1654" s="94"/>
      <c r="F1654" s="95"/>
      <c r="G1654" s="67"/>
      <c r="H1654" s="73"/>
    </row>
    <row r="1655" spans="1:8" ht="17.2" customHeight="1" x14ac:dyDescent="0.3">
      <c r="A1655" s="63"/>
      <c r="B1655" s="523"/>
      <c r="C1655" s="524"/>
      <c r="D1655" s="93"/>
      <c r="E1655" s="94"/>
      <c r="F1655" s="95"/>
      <c r="G1655" s="67"/>
      <c r="H1655" s="73"/>
    </row>
    <row r="1656" spans="1:8" ht="17.2" customHeight="1" x14ac:dyDescent="0.3">
      <c r="A1656" s="70" t="s">
        <v>46</v>
      </c>
      <c r="E1656" s="71" t="s">
        <v>47</v>
      </c>
      <c r="F1656" s="71"/>
      <c r="G1656" s="71"/>
      <c r="H1656" s="76">
        <f>ROUND(SUM(G1649:G1655),2)</f>
        <v>14500</v>
      </c>
    </row>
    <row r="1657" spans="1:8" ht="17.2" customHeight="1" x14ac:dyDescent="0.3">
      <c r="A1657" s="61" t="s">
        <v>48</v>
      </c>
      <c r="B1657" s="525" t="s">
        <v>49</v>
      </c>
      <c r="C1657" s="526"/>
      <c r="D1657" s="526"/>
      <c r="E1657" s="526"/>
      <c r="F1657" s="526"/>
      <c r="G1657" s="527"/>
      <c r="H1657" s="73"/>
    </row>
    <row r="1658" spans="1:8" ht="17.2" customHeight="1" x14ac:dyDescent="0.3">
      <c r="A1658" s="62" t="s">
        <v>50</v>
      </c>
      <c r="B1658" s="62" t="s">
        <v>34</v>
      </c>
      <c r="C1658" s="62" t="s">
        <v>51</v>
      </c>
      <c r="D1658" s="62" t="s">
        <v>52</v>
      </c>
      <c r="E1658" s="74" t="s">
        <v>53</v>
      </c>
      <c r="F1658" s="64" t="s">
        <v>260</v>
      </c>
      <c r="G1658" s="64" t="s">
        <v>38</v>
      </c>
      <c r="H1658" s="73"/>
    </row>
    <row r="1659" spans="1:8" ht="17.2" customHeight="1" x14ac:dyDescent="0.3">
      <c r="A1659" s="62">
        <v>1</v>
      </c>
      <c r="B1659" s="63" t="s">
        <v>79</v>
      </c>
      <c r="C1659" s="77">
        <v>120000</v>
      </c>
      <c r="D1659" s="78">
        <v>0.75</v>
      </c>
      <c r="E1659" s="79">
        <f>+(A1659*C1659)+(A1659*C1659*D1659)</f>
        <v>210000</v>
      </c>
      <c r="F1659" s="75">
        <v>80</v>
      </c>
      <c r="G1659" s="65">
        <f>ROUND(E1659/(F1659),2)</f>
        <v>2625</v>
      </c>
      <c r="H1659" s="73"/>
    </row>
    <row r="1660" spans="1:8" ht="17.2" customHeight="1" x14ac:dyDescent="0.3">
      <c r="A1660" s="62">
        <v>2</v>
      </c>
      <c r="B1660" s="63" t="s">
        <v>80</v>
      </c>
      <c r="C1660" s="77">
        <v>70000</v>
      </c>
      <c r="D1660" s="78">
        <v>0.75</v>
      </c>
      <c r="E1660" s="79">
        <f>+(A1660*C1660)+(A1660*C1660*D1660)</f>
        <v>245000</v>
      </c>
      <c r="F1660" s="75">
        <v>80</v>
      </c>
      <c r="G1660" s="65">
        <f>ROUND(E1660/(F1660),2)</f>
        <v>3062.5</v>
      </c>
      <c r="H1660" s="73"/>
    </row>
    <row r="1661" spans="1:8" ht="17.2" customHeight="1" x14ac:dyDescent="0.3">
      <c r="A1661" s="63"/>
      <c r="B1661" s="63"/>
      <c r="C1661" s="63"/>
      <c r="D1661" s="63"/>
      <c r="E1661" s="64"/>
      <c r="F1661" s="64"/>
      <c r="G1661" s="64"/>
      <c r="H1661" s="73"/>
    </row>
    <row r="1662" spans="1:8" ht="17.2" customHeight="1" x14ac:dyDescent="0.3">
      <c r="A1662" s="70"/>
      <c r="E1662" s="71" t="s">
        <v>54</v>
      </c>
      <c r="F1662" s="71"/>
      <c r="G1662" s="71"/>
      <c r="H1662" s="72">
        <f>ROUND(SUM(G1659)+(G1660),2)</f>
        <v>5687.5</v>
      </c>
    </row>
    <row r="1663" spans="1:8" ht="17.2" customHeight="1" x14ac:dyDescent="0.3">
      <c r="A1663" s="61" t="s">
        <v>55</v>
      </c>
      <c r="B1663" s="525" t="s">
        <v>56</v>
      </c>
      <c r="C1663" s="526"/>
      <c r="D1663" s="526"/>
      <c r="E1663" s="526"/>
      <c r="F1663" s="526"/>
      <c r="G1663" s="527"/>
      <c r="H1663" s="73"/>
    </row>
    <row r="1664" spans="1:8" ht="17.2" customHeight="1" x14ac:dyDescent="0.3">
      <c r="A1664" s="63"/>
      <c r="B1664" s="63" t="s">
        <v>34</v>
      </c>
      <c r="C1664" s="62" t="s">
        <v>43</v>
      </c>
      <c r="D1664" s="62" t="s">
        <v>57</v>
      </c>
      <c r="E1664" s="62" t="s">
        <v>58</v>
      </c>
      <c r="F1664" s="62"/>
      <c r="G1664" s="64" t="s">
        <v>59</v>
      </c>
      <c r="H1664" s="73"/>
    </row>
    <row r="1665" spans="1:8" ht="17.2" customHeight="1" x14ac:dyDescent="0.3">
      <c r="A1665" s="63"/>
      <c r="B1665" s="63" t="s">
        <v>82</v>
      </c>
      <c r="C1665" s="80" t="s">
        <v>83</v>
      </c>
      <c r="D1665" s="63">
        <v>5.0000000000000001E-3</v>
      </c>
      <c r="E1665" s="64">
        <v>50000</v>
      </c>
      <c r="F1665" s="64"/>
      <c r="G1665" s="64">
        <f>D1665*E1665</f>
        <v>250</v>
      </c>
      <c r="H1665" s="73"/>
    </row>
    <row r="1666" spans="1:8" ht="17.2" customHeight="1" x14ac:dyDescent="0.3">
      <c r="A1666" s="63"/>
      <c r="B1666" s="63"/>
      <c r="C1666" s="81"/>
      <c r="D1666" s="63"/>
      <c r="E1666" s="64"/>
      <c r="F1666" s="64"/>
      <c r="G1666" s="64"/>
      <c r="H1666" s="73"/>
    </row>
    <row r="1667" spans="1:8" ht="17.2" customHeight="1" x14ac:dyDescent="0.3">
      <c r="A1667" s="63"/>
      <c r="B1667" s="63"/>
      <c r="C1667" s="63"/>
      <c r="D1667" s="63"/>
      <c r="E1667" s="64"/>
      <c r="F1667" s="64"/>
      <c r="G1667" s="64"/>
      <c r="H1667" s="73"/>
    </row>
    <row r="1668" spans="1:8" ht="17.2" customHeight="1" x14ac:dyDescent="0.3">
      <c r="A1668" s="70"/>
      <c r="E1668" s="71" t="s">
        <v>54</v>
      </c>
      <c r="F1668" s="71"/>
      <c r="G1668" s="71"/>
      <c r="H1668" s="119">
        <f>ROUND(SUM(G1665)+(G1666),0)</f>
        <v>250</v>
      </c>
    </row>
    <row r="1669" spans="1:8" ht="17.2" customHeight="1" x14ac:dyDescent="0.3">
      <c r="A1669" s="59"/>
      <c r="E1669" s="71"/>
      <c r="F1669" s="71"/>
      <c r="G1669" s="71"/>
      <c r="H1669" s="73"/>
    </row>
    <row r="1670" spans="1:8" ht="17.2" customHeight="1" x14ac:dyDescent="0.3">
      <c r="A1670" s="59"/>
      <c r="D1670" s="82" t="s">
        <v>60</v>
      </c>
      <c r="E1670" s="83"/>
      <c r="F1670" s="83"/>
      <c r="G1670" s="83"/>
      <c r="H1670" s="72">
        <f>ROUND(SUM(H1646:H1669),2)</f>
        <v>21006.25</v>
      </c>
    </row>
    <row r="1671" spans="1:8" ht="17.2" customHeight="1" x14ac:dyDescent="0.3">
      <c r="A1671" s="59"/>
      <c r="E1671" s="71"/>
      <c r="F1671" s="71"/>
      <c r="G1671" s="71"/>
      <c r="H1671" s="73"/>
    </row>
    <row r="1672" spans="1:8" ht="17.2" customHeight="1" x14ac:dyDescent="0.3">
      <c r="A1672" s="61" t="s">
        <v>61</v>
      </c>
      <c r="B1672" s="525" t="s">
        <v>62</v>
      </c>
      <c r="C1672" s="526"/>
      <c r="D1672" s="526"/>
      <c r="E1672" s="526"/>
      <c r="F1672" s="526"/>
      <c r="G1672" s="527"/>
      <c r="H1672" s="73"/>
    </row>
    <row r="1673" spans="1:8" ht="17.2" customHeight="1" x14ac:dyDescent="0.3">
      <c r="A1673" s="62"/>
      <c r="B1673" s="518" t="s">
        <v>34</v>
      </c>
      <c r="C1673" s="519"/>
      <c r="D1673" s="518" t="s">
        <v>63</v>
      </c>
      <c r="E1673" s="519"/>
      <c r="F1673" s="528" t="s">
        <v>64</v>
      </c>
      <c r="G1673" s="529"/>
      <c r="H1673" s="73"/>
    </row>
    <row r="1674" spans="1:8" ht="17.2" customHeight="1" x14ac:dyDescent="0.3">
      <c r="A1674" s="63"/>
      <c r="B1674" s="518" t="s">
        <v>20</v>
      </c>
      <c r="C1674" s="519"/>
      <c r="D1674" s="520">
        <v>0.28000000000000003</v>
      </c>
      <c r="E1674" s="519"/>
      <c r="F1674" s="521">
        <f>+H1670*D1674</f>
        <v>5881.7500000000009</v>
      </c>
      <c r="G1674" s="522"/>
      <c r="H1674" s="73"/>
    </row>
    <row r="1675" spans="1:8" ht="17.2" customHeight="1" x14ac:dyDescent="0.3">
      <c r="A1675" s="63"/>
      <c r="B1675" s="518" t="s">
        <v>21</v>
      </c>
      <c r="C1675" s="519"/>
      <c r="D1675" s="520">
        <v>0.01</v>
      </c>
      <c r="E1675" s="519"/>
      <c r="F1675" s="521">
        <f>+H1670*D1675</f>
        <v>210.0625</v>
      </c>
      <c r="G1675" s="522"/>
      <c r="H1675" s="73"/>
    </row>
    <row r="1676" spans="1:8" ht="17.2" customHeight="1" x14ac:dyDescent="0.3">
      <c r="A1676" s="63"/>
      <c r="B1676" s="518" t="s">
        <v>22</v>
      </c>
      <c r="C1676" s="519"/>
      <c r="D1676" s="520">
        <v>0.03</v>
      </c>
      <c r="E1676" s="519"/>
      <c r="F1676" s="521">
        <f>+H1670*D1676</f>
        <v>630.1875</v>
      </c>
      <c r="G1676" s="522"/>
      <c r="H1676" s="73"/>
    </row>
    <row r="1677" spans="1:8" ht="17.2" customHeight="1" x14ac:dyDescent="0.3">
      <c r="A1677" s="63"/>
      <c r="B1677" s="518" t="s">
        <v>188</v>
      </c>
      <c r="C1677" s="519"/>
      <c r="D1677" s="520">
        <v>0.19</v>
      </c>
      <c r="E1677" s="519"/>
      <c r="F1677" s="521">
        <f>D1677*F1676</f>
        <v>119.735625</v>
      </c>
      <c r="G1677" s="522"/>
      <c r="H1677" s="73"/>
    </row>
    <row r="1678" spans="1:8" ht="17.2" customHeight="1" x14ac:dyDescent="0.3">
      <c r="A1678" s="59"/>
      <c r="D1678" s="82" t="s">
        <v>65</v>
      </c>
      <c r="E1678" s="83"/>
      <c r="F1678" s="83"/>
      <c r="G1678" s="83"/>
      <c r="H1678" s="72">
        <f>SUM(F1674:G1677)</f>
        <v>6841.7356250000012</v>
      </c>
    </row>
    <row r="1679" spans="1:8" ht="17.2" customHeight="1" x14ac:dyDescent="0.3">
      <c r="A1679" s="59"/>
      <c r="E1679" s="71"/>
      <c r="F1679" s="71"/>
      <c r="G1679" s="71"/>
      <c r="H1679" s="73"/>
    </row>
    <row r="1680" spans="1:8" ht="17.2" customHeight="1" x14ac:dyDescent="0.3">
      <c r="A1680" s="59"/>
      <c r="D1680" s="82" t="s">
        <v>66</v>
      </c>
      <c r="E1680" s="83"/>
      <c r="F1680" s="83"/>
      <c r="G1680" s="71"/>
      <c r="H1680" s="72">
        <f>H1670+H1678</f>
        <v>27847.985625000001</v>
      </c>
    </row>
    <row r="1681" spans="1:8" ht="17.2" customHeight="1" x14ac:dyDescent="0.3">
      <c r="A1681" s="59"/>
      <c r="D1681" s="82"/>
      <c r="E1681" s="83"/>
      <c r="F1681" s="83"/>
      <c r="G1681" s="71"/>
      <c r="H1681" s="73"/>
    </row>
    <row r="1682" spans="1:8" ht="17.2" customHeight="1" x14ac:dyDescent="0.3">
      <c r="A1682" s="59"/>
      <c r="E1682" s="83"/>
      <c r="F1682" s="83"/>
      <c r="G1682" s="71"/>
      <c r="H1682" s="73"/>
    </row>
    <row r="1683" spans="1:8" ht="17.2" customHeight="1" x14ac:dyDescent="0.3">
      <c r="A1683" s="84"/>
      <c r="B1683" s="85"/>
      <c r="E1683" s="46"/>
      <c r="F1683" s="47"/>
      <c r="G1683" s="48"/>
      <c r="H1683" s="73"/>
    </row>
    <row r="1684" spans="1:8" ht="17.2" customHeight="1" x14ac:dyDescent="0.3">
      <c r="A1684" s="86" t="s">
        <v>67</v>
      </c>
      <c r="B1684" s="50" t="s">
        <v>68</v>
      </c>
      <c r="E1684" s="49" t="s">
        <v>27</v>
      </c>
      <c r="F1684" s="50"/>
      <c r="G1684" s="50"/>
      <c r="H1684" s="87"/>
    </row>
    <row r="1685" spans="1:8" ht="17.2" customHeight="1" x14ac:dyDescent="0.3">
      <c r="A1685" s="88" t="s">
        <v>28</v>
      </c>
      <c r="B1685" s="50"/>
      <c r="E1685" s="50" t="str">
        <f ca="1">+$E$52</f>
        <v>SECRETARIO DE PLANEACION Y OBRAS PUBLICAS</v>
      </c>
      <c r="F1685" s="50"/>
      <c r="G1685" s="50"/>
      <c r="H1685" s="87"/>
    </row>
    <row r="1686" spans="1:8" ht="17.2" customHeight="1" x14ac:dyDescent="0.3">
      <c r="A1686" s="88"/>
      <c r="B1686" s="50"/>
      <c r="E1686" s="50" t="str">
        <f ca="1">+$E$53</f>
        <v>SAN MIGUEL - PUTUMAYO</v>
      </c>
      <c r="F1686" s="50"/>
      <c r="G1686" s="50"/>
      <c r="H1686" s="87"/>
    </row>
    <row r="1687" spans="1:8" ht="17.2" customHeight="1" x14ac:dyDescent="0.3">
      <c r="A1687" s="88"/>
      <c r="B1687" s="50"/>
      <c r="E1687" s="90"/>
      <c r="F1687" s="50"/>
      <c r="G1687" s="50"/>
      <c r="H1687" s="87"/>
    </row>
    <row r="1688" spans="1:8" ht="17.2" customHeight="1" x14ac:dyDescent="0.3">
      <c r="A1688" s="556"/>
      <c r="B1688" s="557"/>
      <c r="C1688" s="380" t="s">
        <v>2</v>
      </c>
      <c r="D1688" s="382" t="s">
        <v>3</v>
      </c>
      <c r="E1688" s="383"/>
      <c r="F1688" s="1">
        <v>103</v>
      </c>
      <c r="G1688" s="548"/>
      <c r="H1688" s="549"/>
    </row>
    <row r="1689" spans="1:8" ht="17.2" customHeight="1" x14ac:dyDescent="0.3">
      <c r="A1689" s="558"/>
      <c r="B1689" s="559"/>
      <c r="C1689" s="381"/>
      <c r="D1689" s="396" t="s">
        <v>4</v>
      </c>
      <c r="E1689" s="397"/>
      <c r="F1689" s="400">
        <v>51</v>
      </c>
      <c r="G1689" s="550"/>
      <c r="H1689" s="551"/>
    </row>
    <row r="1690" spans="1:8" ht="17.2" customHeight="1" x14ac:dyDescent="0.3">
      <c r="A1690" s="558"/>
      <c r="B1690" s="559"/>
      <c r="C1690" s="5" t="s">
        <v>5</v>
      </c>
      <c r="D1690" s="398"/>
      <c r="E1690" s="399"/>
      <c r="F1690" s="401"/>
      <c r="G1690" s="550"/>
      <c r="H1690" s="551"/>
    </row>
    <row r="1691" spans="1:8" ht="26.85" customHeight="1" x14ac:dyDescent="0.3">
      <c r="A1691" s="558"/>
      <c r="B1691" s="559"/>
      <c r="C1691" s="55" t="s">
        <v>6</v>
      </c>
      <c r="D1691" s="402" t="s">
        <v>7</v>
      </c>
      <c r="E1691" s="403"/>
      <c r="F1691" s="7">
        <v>1</v>
      </c>
      <c r="G1691" s="550"/>
      <c r="H1691" s="551"/>
    </row>
    <row r="1692" spans="1:8" ht="17.2" customHeight="1" x14ac:dyDescent="0.3">
      <c r="A1692" s="558"/>
      <c r="B1692" s="559"/>
      <c r="C1692" s="530" t="s">
        <v>8</v>
      </c>
      <c r="D1692" s="532" t="s">
        <v>9</v>
      </c>
      <c r="E1692" s="533"/>
      <c r="F1692" s="5" t="s">
        <v>10</v>
      </c>
      <c r="G1692" s="550"/>
      <c r="H1692" s="551"/>
    </row>
    <row r="1693" spans="1:8" ht="17.2" customHeight="1" x14ac:dyDescent="0.3">
      <c r="A1693" s="560"/>
      <c r="B1693" s="561"/>
      <c r="C1693" s="531"/>
      <c r="D1693" s="534"/>
      <c r="E1693" s="535"/>
      <c r="F1693" s="8">
        <f>$F$6</f>
        <v>45402</v>
      </c>
      <c r="G1693" s="552"/>
      <c r="H1693" s="553"/>
    </row>
    <row r="1694" spans="1:8" ht="17.2" customHeight="1" thickBot="1" x14ac:dyDescent="0.35">
      <c r="A1694" s="536"/>
      <c r="B1694" s="537"/>
      <c r="C1694" s="537"/>
      <c r="D1694" s="537"/>
      <c r="E1694" s="537"/>
      <c r="F1694" s="537"/>
      <c r="G1694" s="537"/>
      <c r="H1694" s="538"/>
    </row>
    <row r="1695" spans="1:8" ht="28.15" customHeight="1" thickBot="1" x14ac:dyDescent="0.35">
      <c r="A1695" s="275">
        <v>4.17</v>
      </c>
      <c r="B1695" s="539" t="str">
        <f>VLOOKUP(A1695,PRESUPUESTO!$A$14:$G$71,2,)</f>
        <v>Tomacorriente GFCI</v>
      </c>
      <c r="C1695" s="540"/>
      <c r="D1695" s="540"/>
      <c r="E1695" s="540"/>
      <c r="F1695" s="541"/>
      <c r="G1695" s="57" t="s">
        <v>31</v>
      </c>
      <c r="H1695" s="58" t="str">
        <f>VLOOKUP(A1695,PRESUPUESTO!$A$14:$G$71,4,)</f>
        <v>UND</v>
      </c>
    </row>
    <row r="1696" spans="1:8" ht="17.2" customHeight="1" x14ac:dyDescent="0.3">
      <c r="A1696" s="59"/>
      <c r="H1696" s="60"/>
    </row>
    <row r="1697" spans="1:8" ht="17.2" customHeight="1" x14ac:dyDescent="0.3">
      <c r="A1697" s="61" t="s">
        <v>32</v>
      </c>
      <c r="B1697" s="525" t="s">
        <v>33</v>
      </c>
      <c r="C1697" s="526"/>
      <c r="D1697" s="526"/>
      <c r="E1697" s="526"/>
      <c r="F1697" s="526"/>
      <c r="G1697" s="527"/>
      <c r="H1697" s="60"/>
    </row>
    <row r="1698" spans="1:8" ht="17.2" customHeight="1" x14ac:dyDescent="0.3">
      <c r="A1698" s="62"/>
      <c r="B1698" s="518" t="s">
        <v>34</v>
      </c>
      <c r="C1698" s="519"/>
      <c r="D1698" s="62" t="s">
        <v>35</v>
      </c>
      <c r="E1698" s="62" t="s">
        <v>69</v>
      </c>
      <c r="F1698" s="62" t="s">
        <v>70</v>
      </c>
      <c r="G1698" s="62" t="s">
        <v>38</v>
      </c>
      <c r="H1698" s="60"/>
    </row>
    <row r="1699" spans="1:8" ht="17.2" customHeight="1" x14ac:dyDescent="0.3">
      <c r="A1699" s="63"/>
      <c r="B1699" s="542" t="s">
        <v>39</v>
      </c>
      <c r="C1699" s="543"/>
      <c r="D1699" s="63"/>
      <c r="E1699" s="64"/>
      <c r="F1699" s="64">
        <v>0.1</v>
      </c>
      <c r="G1699" s="65">
        <f>ROUND(H1717*F1699,2)</f>
        <v>568.75</v>
      </c>
      <c r="H1699" s="66"/>
    </row>
    <row r="1700" spans="1:8" ht="17.2" customHeight="1" x14ac:dyDescent="0.3">
      <c r="A1700" s="63"/>
      <c r="B1700" s="542"/>
      <c r="C1700" s="543"/>
      <c r="D1700" s="62"/>
      <c r="E1700" s="68"/>
      <c r="F1700" s="64"/>
      <c r="G1700" s="69"/>
      <c r="H1700" s="66"/>
    </row>
    <row r="1701" spans="1:8" ht="17.2" customHeight="1" x14ac:dyDescent="0.3">
      <c r="A1701" s="70"/>
      <c r="E1701" s="71" t="s">
        <v>40</v>
      </c>
      <c r="F1701" s="71"/>
      <c r="G1701" s="71"/>
      <c r="H1701" s="72">
        <f>ROUND(SUM(G1699:G1700),2)</f>
        <v>568.75</v>
      </c>
    </row>
    <row r="1702" spans="1:8" ht="17.2" customHeight="1" x14ac:dyDescent="0.3">
      <c r="A1702" s="61" t="s">
        <v>41</v>
      </c>
      <c r="B1702" s="525" t="s">
        <v>42</v>
      </c>
      <c r="C1702" s="526"/>
      <c r="D1702" s="526"/>
      <c r="E1702" s="526"/>
      <c r="F1702" s="526"/>
      <c r="G1702" s="527"/>
      <c r="H1702" s="73"/>
    </row>
    <row r="1703" spans="1:8" ht="17.2" customHeight="1" x14ac:dyDescent="0.3">
      <c r="A1703" s="62"/>
      <c r="B1703" s="518" t="s">
        <v>34</v>
      </c>
      <c r="C1703" s="519"/>
      <c r="D1703" s="62" t="s">
        <v>43</v>
      </c>
      <c r="E1703" s="74" t="s">
        <v>44</v>
      </c>
      <c r="F1703" s="74" t="s">
        <v>45</v>
      </c>
      <c r="G1703" s="74" t="s">
        <v>38</v>
      </c>
      <c r="H1703" s="73"/>
    </row>
    <row r="1704" spans="1:8" ht="19.149999999999999" customHeight="1" x14ac:dyDescent="0.3">
      <c r="A1704" s="63"/>
      <c r="B1704" s="554" t="s">
        <v>308</v>
      </c>
      <c r="C1704" s="555"/>
      <c r="D1704" s="93" t="s">
        <v>218</v>
      </c>
      <c r="E1704" s="94">
        <v>1</v>
      </c>
      <c r="F1704" s="272">
        <v>22000</v>
      </c>
      <c r="G1704" s="120">
        <f>ROUND(E1704*F1704,2)</f>
        <v>22000</v>
      </c>
      <c r="H1704" s="73"/>
    </row>
    <row r="1705" spans="1:8" ht="17.2" customHeight="1" x14ac:dyDescent="0.3">
      <c r="A1705" s="63"/>
      <c r="B1705" s="523" t="s">
        <v>309</v>
      </c>
      <c r="C1705" s="524"/>
      <c r="D1705" s="93" t="s">
        <v>218</v>
      </c>
      <c r="E1705" s="94">
        <v>1</v>
      </c>
      <c r="F1705" s="272">
        <v>2500</v>
      </c>
      <c r="G1705" s="67">
        <f t="shared" ref="G1705" si="19">ROUND(E1705*F1705,2)</f>
        <v>2500</v>
      </c>
      <c r="H1705" s="73"/>
    </row>
    <row r="1706" spans="1:8" ht="17.2" customHeight="1" x14ac:dyDescent="0.3">
      <c r="A1706" s="63" t="s">
        <v>46</v>
      </c>
      <c r="B1706" s="523"/>
      <c r="C1706" s="524"/>
      <c r="D1706" s="93"/>
      <c r="E1706" s="94"/>
      <c r="F1706" s="95"/>
      <c r="G1706" s="67"/>
      <c r="H1706" s="73"/>
    </row>
    <row r="1707" spans="1:8" ht="17.2" customHeight="1" x14ac:dyDescent="0.3">
      <c r="A1707" s="63"/>
      <c r="B1707" s="546"/>
      <c r="C1707" s="547"/>
      <c r="D1707" s="270"/>
      <c r="E1707" s="270"/>
      <c r="F1707" s="95"/>
      <c r="G1707" s="67"/>
      <c r="H1707" s="73"/>
    </row>
    <row r="1708" spans="1:8" ht="17.2" customHeight="1" x14ac:dyDescent="0.3">
      <c r="A1708" s="63"/>
      <c r="B1708" s="546"/>
      <c r="C1708" s="547"/>
      <c r="D1708" s="270"/>
      <c r="E1708" s="270"/>
      <c r="F1708" s="95"/>
      <c r="G1708" s="67"/>
      <c r="H1708" s="73"/>
    </row>
    <row r="1709" spans="1:8" ht="17.2" customHeight="1" x14ac:dyDescent="0.3">
      <c r="A1709" s="63"/>
      <c r="B1709" s="523"/>
      <c r="C1709" s="524"/>
      <c r="D1709" s="93"/>
      <c r="E1709" s="94"/>
      <c r="F1709" s="95"/>
      <c r="G1709" s="67"/>
      <c r="H1709" s="73"/>
    </row>
    <row r="1710" spans="1:8" ht="17.2" customHeight="1" x14ac:dyDescent="0.3">
      <c r="A1710" s="63"/>
      <c r="B1710" s="523"/>
      <c r="C1710" s="524"/>
      <c r="D1710" s="93"/>
      <c r="E1710" s="94"/>
      <c r="F1710" s="95"/>
      <c r="G1710" s="67"/>
      <c r="H1710" s="73"/>
    </row>
    <row r="1711" spans="1:8" ht="17.2" customHeight="1" x14ac:dyDescent="0.3">
      <c r="A1711" s="70" t="s">
        <v>46</v>
      </c>
      <c r="E1711" s="71" t="s">
        <v>47</v>
      </c>
      <c r="F1711" s="71"/>
      <c r="G1711" s="71"/>
      <c r="H1711" s="76">
        <f>ROUND(SUM(G1704:G1710),2)</f>
        <v>24500</v>
      </c>
    </row>
    <row r="1712" spans="1:8" ht="17.2" customHeight="1" x14ac:dyDescent="0.3">
      <c r="A1712" s="61" t="s">
        <v>48</v>
      </c>
      <c r="B1712" s="525" t="s">
        <v>49</v>
      </c>
      <c r="C1712" s="526"/>
      <c r="D1712" s="526"/>
      <c r="E1712" s="526"/>
      <c r="F1712" s="526"/>
      <c r="G1712" s="527"/>
      <c r="H1712" s="73"/>
    </row>
    <row r="1713" spans="1:8" ht="17.2" customHeight="1" x14ac:dyDescent="0.3">
      <c r="A1713" s="62" t="s">
        <v>50</v>
      </c>
      <c r="B1713" s="62" t="s">
        <v>34</v>
      </c>
      <c r="C1713" s="62" t="s">
        <v>51</v>
      </c>
      <c r="D1713" s="62" t="s">
        <v>52</v>
      </c>
      <c r="E1713" s="74" t="s">
        <v>53</v>
      </c>
      <c r="F1713" s="64" t="s">
        <v>260</v>
      </c>
      <c r="G1713" s="64" t="s">
        <v>38</v>
      </c>
      <c r="H1713" s="73"/>
    </row>
    <row r="1714" spans="1:8" ht="17.2" customHeight="1" x14ac:dyDescent="0.3">
      <c r="A1714" s="62">
        <v>1</v>
      </c>
      <c r="B1714" s="63" t="s">
        <v>79</v>
      </c>
      <c r="C1714" s="77">
        <v>120000</v>
      </c>
      <c r="D1714" s="78">
        <v>0.75</v>
      </c>
      <c r="E1714" s="79">
        <f>+(A1714*C1714)+(A1714*C1714*D1714)</f>
        <v>210000</v>
      </c>
      <c r="F1714" s="75">
        <v>80</v>
      </c>
      <c r="G1714" s="65">
        <f>ROUND(E1714/(F1714),2)</f>
        <v>2625</v>
      </c>
      <c r="H1714" s="73"/>
    </row>
    <row r="1715" spans="1:8" ht="17.2" customHeight="1" x14ac:dyDescent="0.3">
      <c r="A1715" s="62">
        <v>2</v>
      </c>
      <c r="B1715" s="63" t="s">
        <v>80</v>
      </c>
      <c r="C1715" s="77">
        <v>70000</v>
      </c>
      <c r="D1715" s="78">
        <v>0.75</v>
      </c>
      <c r="E1715" s="79">
        <f>+(A1715*C1715)+(A1715*C1715*D1715)</f>
        <v>245000</v>
      </c>
      <c r="F1715" s="75">
        <v>80</v>
      </c>
      <c r="G1715" s="65">
        <f>ROUND(E1715/(F1715),2)</f>
        <v>3062.5</v>
      </c>
      <c r="H1715" s="73"/>
    </row>
    <row r="1716" spans="1:8" ht="17.2" customHeight="1" x14ac:dyDescent="0.3">
      <c r="A1716" s="63"/>
      <c r="B1716" s="63"/>
      <c r="C1716" s="63"/>
      <c r="D1716" s="63"/>
      <c r="E1716" s="64"/>
      <c r="F1716" s="64"/>
      <c r="G1716" s="64"/>
      <c r="H1716" s="73"/>
    </row>
    <row r="1717" spans="1:8" ht="17.2" customHeight="1" x14ac:dyDescent="0.3">
      <c r="A1717" s="70"/>
      <c r="E1717" s="71" t="s">
        <v>54</v>
      </c>
      <c r="F1717" s="71"/>
      <c r="G1717" s="71"/>
      <c r="H1717" s="72">
        <f>ROUND(SUM(G1714)+(G1715),2)</f>
        <v>5687.5</v>
      </c>
    </row>
    <row r="1718" spans="1:8" ht="17.2" customHeight="1" x14ac:dyDescent="0.3">
      <c r="A1718" s="61" t="s">
        <v>55</v>
      </c>
      <c r="B1718" s="525" t="s">
        <v>56</v>
      </c>
      <c r="C1718" s="526"/>
      <c r="D1718" s="526"/>
      <c r="E1718" s="526"/>
      <c r="F1718" s="526"/>
      <c r="G1718" s="527"/>
      <c r="H1718" s="73"/>
    </row>
    <row r="1719" spans="1:8" ht="17.2" customHeight="1" x14ac:dyDescent="0.3">
      <c r="A1719" s="63"/>
      <c r="B1719" s="63" t="s">
        <v>34</v>
      </c>
      <c r="C1719" s="62" t="s">
        <v>43</v>
      </c>
      <c r="D1719" s="62" t="s">
        <v>57</v>
      </c>
      <c r="E1719" s="62" t="s">
        <v>58</v>
      </c>
      <c r="F1719" s="62"/>
      <c r="G1719" s="64" t="s">
        <v>59</v>
      </c>
      <c r="H1719" s="73"/>
    </row>
    <row r="1720" spans="1:8" ht="17.2" customHeight="1" x14ac:dyDescent="0.3">
      <c r="A1720" s="63"/>
      <c r="B1720" s="63" t="s">
        <v>82</v>
      </c>
      <c r="C1720" s="80" t="s">
        <v>83</v>
      </c>
      <c r="D1720" s="63">
        <v>5.0000000000000001E-3</v>
      </c>
      <c r="E1720" s="64">
        <v>50000</v>
      </c>
      <c r="F1720" s="64"/>
      <c r="G1720" s="64">
        <f>D1720*E1720</f>
        <v>250</v>
      </c>
      <c r="H1720" s="73"/>
    </row>
    <row r="1721" spans="1:8" ht="17.2" customHeight="1" x14ac:dyDescent="0.3">
      <c r="A1721" s="63"/>
      <c r="B1721" s="63"/>
      <c r="C1721" s="81"/>
      <c r="D1721" s="63"/>
      <c r="E1721" s="64"/>
      <c r="F1721" s="64"/>
      <c r="G1721" s="64"/>
      <c r="H1721" s="73"/>
    </row>
    <row r="1722" spans="1:8" ht="17.2" customHeight="1" x14ac:dyDescent="0.3">
      <c r="A1722" s="63"/>
      <c r="B1722" s="63"/>
      <c r="C1722" s="63"/>
      <c r="D1722" s="63"/>
      <c r="E1722" s="64"/>
      <c r="F1722" s="64"/>
      <c r="G1722" s="64"/>
      <c r="H1722" s="73"/>
    </row>
    <row r="1723" spans="1:8" ht="17.2" customHeight="1" x14ac:dyDescent="0.3">
      <c r="A1723" s="70"/>
      <c r="E1723" s="71" t="s">
        <v>54</v>
      </c>
      <c r="F1723" s="71"/>
      <c r="G1723" s="71"/>
      <c r="H1723" s="119">
        <f>ROUND(SUM(G1720)+(G1721),0)</f>
        <v>250</v>
      </c>
    </row>
    <row r="1724" spans="1:8" ht="17.2" customHeight="1" x14ac:dyDescent="0.3">
      <c r="A1724" s="59"/>
      <c r="E1724" s="71"/>
      <c r="F1724" s="71"/>
      <c r="G1724" s="71"/>
      <c r="H1724" s="73"/>
    </row>
    <row r="1725" spans="1:8" ht="17.2" customHeight="1" x14ac:dyDescent="0.3">
      <c r="A1725" s="59"/>
      <c r="D1725" s="82" t="s">
        <v>60</v>
      </c>
      <c r="E1725" s="83"/>
      <c r="F1725" s="83"/>
      <c r="G1725" s="83"/>
      <c r="H1725" s="72">
        <f>ROUND(SUM(H1701:H1724),2)</f>
        <v>31006.25</v>
      </c>
    </row>
    <row r="1726" spans="1:8" ht="17.2" customHeight="1" x14ac:dyDescent="0.3">
      <c r="A1726" s="59"/>
      <c r="E1726" s="71"/>
      <c r="F1726" s="71"/>
      <c r="G1726" s="71"/>
      <c r="H1726" s="73"/>
    </row>
    <row r="1727" spans="1:8" ht="17.2" customHeight="1" x14ac:dyDescent="0.3">
      <c r="A1727" s="61" t="s">
        <v>61</v>
      </c>
      <c r="B1727" s="525" t="s">
        <v>62</v>
      </c>
      <c r="C1727" s="526"/>
      <c r="D1727" s="526"/>
      <c r="E1727" s="526"/>
      <c r="F1727" s="526"/>
      <c r="G1727" s="527"/>
      <c r="H1727" s="73"/>
    </row>
    <row r="1728" spans="1:8" ht="17.2" customHeight="1" x14ac:dyDescent="0.3">
      <c r="A1728" s="62"/>
      <c r="B1728" s="518" t="s">
        <v>34</v>
      </c>
      <c r="C1728" s="519"/>
      <c r="D1728" s="518" t="s">
        <v>63</v>
      </c>
      <c r="E1728" s="519"/>
      <c r="F1728" s="528" t="s">
        <v>64</v>
      </c>
      <c r="G1728" s="529"/>
      <c r="H1728" s="73"/>
    </row>
    <row r="1729" spans="1:8" ht="17.2" customHeight="1" x14ac:dyDescent="0.3">
      <c r="A1729" s="63"/>
      <c r="B1729" s="518" t="s">
        <v>20</v>
      </c>
      <c r="C1729" s="519"/>
      <c r="D1729" s="520">
        <v>0.28000000000000003</v>
      </c>
      <c r="E1729" s="519"/>
      <c r="F1729" s="521">
        <f>+H1725*D1729</f>
        <v>8681.75</v>
      </c>
      <c r="G1729" s="522"/>
      <c r="H1729" s="73"/>
    </row>
    <row r="1730" spans="1:8" ht="17.2" customHeight="1" x14ac:dyDescent="0.3">
      <c r="A1730" s="63"/>
      <c r="B1730" s="518" t="s">
        <v>21</v>
      </c>
      <c r="C1730" s="519"/>
      <c r="D1730" s="520">
        <v>0.01</v>
      </c>
      <c r="E1730" s="519"/>
      <c r="F1730" s="521">
        <f>+H1725*D1730</f>
        <v>310.0625</v>
      </c>
      <c r="G1730" s="522"/>
      <c r="H1730" s="73"/>
    </row>
    <row r="1731" spans="1:8" ht="17.2" customHeight="1" x14ac:dyDescent="0.3">
      <c r="A1731" s="63"/>
      <c r="B1731" s="518" t="s">
        <v>22</v>
      </c>
      <c r="C1731" s="519"/>
      <c r="D1731" s="520">
        <v>0.03</v>
      </c>
      <c r="E1731" s="519"/>
      <c r="F1731" s="521">
        <f>+H1725*D1731</f>
        <v>930.1875</v>
      </c>
      <c r="G1731" s="522"/>
      <c r="H1731" s="73"/>
    </row>
    <row r="1732" spans="1:8" ht="17.2" customHeight="1" x14ac:dyDescent="0.3">
      <c r="A1732" s="63"/>
      <c r="B1732" s="518" t="s">
        <v>188</v>
      </c>
      <c r="C1732" s="519"/>
      <c r="D1732" s="520">
        <v>0.19</v>
      </c>
      <c r="E1732" s="519"/>
      <c r="F1732" s="521">
        <f>D1732*F1731</f>
        <v>176.735625</v>
      </c>
      <c r="G1732" s="522"/>
      <c r="H1732" s="73"/>
    </row>
    <row r="1733" spans="1:8" ht="17.2" customHeight="1" x14ac:dyDescent="0.3">
      <c r="A1733" s="59"/>
      <c r="D1733" s="82" t="s">
        <v>65</v>
      </c>
      <c r="E1733" s="83"/>
      <c r="F1733" s="83"/>
      <c r="G1733" s="83"/>
      <c r="H1733" s="72">
        <f>SUM(F1729:G1732)</f>
        <v>10098.735624999999</v>
      </c>
    </row>
    <row r="1734" spans="1:8" ht="17.2" customHeight="1" x14ac:dyDescent="0.3">
      <c r="A1734" s="59"/>
      <c r="E1734" s="71"/>
      <c r="F1734" s="71"/>
      <c r="G1734" s="71"/>
      <c r="H1734" s="73"/>
    </row>
    <row r="1735" spans="1:8" ht="17.2" customHeight="1" x14ac:dyDescent="0.3">
      <c r="A1735" s="59"/>
      <c r="D1735" s="82" t="s">
        <v>66</v>
      </c>
      <c r="E1735" s="83"/>
      <c r="F1735" s="83"/>
      <c r="G1735" s="71"/>
      <c r="H1735" s="72">
        <f>H1725+H1733</f>
        <v>41104.985625000001</v>
      </c>
    </row>
    <row r="1736" spans="1:8" ht="17.2" customHeight="1" x14ac:dyDescent="0.3">
      <c r="A1736" s="59"/>
      <c r="D1736" s="82"/>
      <c r="E1736" s="83"/>
      <c r="F1736" s="83"/>
      <c r="G1736" s="71"/>
      <c r="H1736" s="73"/>
    </row>
    <row r="1737" spans="1:8" ht="17.2" customHeight="1" x14ac:dyDescent="0.3">
      <c r="A1737" s="59"/>
      <c r="E1737" s="83"/>
      <c r="F1737" s="83"/>
      <c r="G1737" s="71"/>
      <c r="H1737" s="73"/>
    </row>
    <row r="1738" spans="1:8" ht="17.2" customHeight="1" x14ac:dyDescent="0.3">
      <c r="A1738" s="84"/>
      <c r="B1738" s="85"/>
      <c r="E1738" s="46"/>
      <c r="F1738" s="47"/>
      <c r="G1738" s="48"/>
      <c r="H1738" s="73"/>
    </row>
    <row r="1739" spans="1:8" ht="17.2" customHeight="1" x14ac:dyDescent="0.3">
      <c r="A1739" s="352" t="s">
        <v>67</v>
      </c>
      <c r="B1739" s="351" t="s">
        <v>68</v>
      </c>
      <c r="E1739" s="49" t="s">
        <v>27</v>
      </c>
      <c r="F1739" s="50"/>
      <c r="G1739" s="50"/>
      <c r="H1739" s="87"/>
    </row>
    <row r="1740" spans="1:8" ht="17.2" customHeight="1" x14ac:dyDescent="0.3">
      <c r="A1740" s="88" t="s">
        <v>28</v>
      </c>
      <c r="B1740" s="50"/>
      <c r="E1740" s="50" t="str">
        <f ca="1">+$E$52</f>
        <v>SECRETARIO DE PLANEACION Y OBRAS PUBLICAS</v>
      </c>
      <c r="F1740" s="50"/>
      <c r="G1740" s="50"/>
      <c r="H1740" s="87"/>
    </row>
    <row r="1741" spans="1:8" ht="17.2" customHeight="1" x14ac:dyDescent="0.3">
      <c r="A1741" s="88"/>
      <c r="B1741" s="50"/>
      <c r="E1741" s="50" t="str">
        <f ca="1">+$E$53</f>
        <v>SAN MIGUEL - PUTUMAYO</v>
      </c>
      <c r="F1741" s="50"/>
      <c r="G1741" s="50"/>
      <c r="H1741" s="87"/>
    </row>
    <row r="1742" spans="1:8" ht="17.2" customHeight="1" x14ac:dyDescent="0.3">
      <c r="A1742" s="50"/>
      <c r="B1742" s="50"/>
      <c r="E1742" s="50"/>
      <c r="F1742" s="50"/>
      <c r="G1742" s="50"/>
      <c r="H1742" s="50"/>
    </row>
    <row r="1743" spans="1:8" ht="17.2" customHeight="1" x14ac:dyDescent="0.3">
      <c r="A1743" s="556"/>
      <c r="B1743" s="557"/>
      <c r="C1743" s="380" t="s">
        <v>2</v>
      </c>
      <c r="D1743" s="382" t="s">
        <v>3</v>
      </c>
      <c r="E1743" s="383"/>
      <c r="F1743" s="1">
        <v>103</v>
      </c>
      <c r="G1743" s="548"/>
      <c r="H1743" s="549"/>
    </row>
    <row r="1744" spans="1:8" ht="17.2" customHeight="1" x14ac:dyDescent="0.3">
      <c r="A1744" s="558"/>
      <c r="B1744" s="559"/>
      <c r="C1744" s="381"/>
      <c r="D1744" s="396" t="s">
        <v>4</v>
      </c>
      <c r="E1744" s="397"/>
      <c r="F1744" s="400">
        <v>51</v>
      </c>
      <c r="G1744" s="550"/>
      <c r="H1744" s="551"/>
    </row>
    <row r="1745" spans="1:8" ht="17.2" customHeight="1" x14ac:dyDescent="0.3">
      <c r="A1745" s="558"/>
      <c r="B1745" s="559"/>
      <c r="C1745" s="5" t="s">
        <v>5</v>
      </c>
      <c r="D1745" s="398"/>
      <c r="E1745" s="399"/>
      <c r="F1745" s="401"/>
      <c r="G1745" s="550"/>
      <c r="H1745" s="551"/>
    </row>
    <row r="1746" spans="1:8" ht="26.85" customHeight="1" x14ac:dyDescent="0.3">
      <c r="A1746" s="558"/>
      <c r="B1746" s="559"/>
      <c r="C1746" s="55" t="s">
        <v>6</v>
      </c>
      <c r="D1746" s="402" t="s">
        <v>7</v>
      </c>
      <c r="E1746" s="403"/>
      <c r="F1746" s="7">
        <v>1</v>
      </c>
      <c r="G1746" s="550"/>
      <c r="H1746" s="551"/>
    </row>
    <row r="1747" spans="1:8" ht="17.2" customHeight="1" x14ac:dyDescent="0.3">
      <c r="A1747" s="558"/>
      <c r="B1747" s="559"/>
      <c r="C1747" s="530" t="s">
        <v>8</v>
      </c>
      <c r="D1747" s="532" t="s">
        <v>9</v>
      </c>
      <c r="E1747" s="533"/>
      <c r="F1747" s="5" t="s">
        <v>10</v>
      </c>
      <c r="G1747" s="550"/>
      <c r="H1747" s="551"/>
    </row>
    <row r="1748" spans="1:8" ht="17.2" customHeight="1" x14ac:dyDescent="0.3">
      <c r="A1748" s="560"/>
      <c r="B1748" s="561"/>
      <c r="C1748" s="531"/>
      <c r="D1748" s="534"/>
      <c r="E1748" s="535"/>
      <c r="F1748" s="8">
        <f>$F$6</f>
        <v>45402</v>
      </c>
      <c r="G1748" s="552"/>
      <c r="H1748" s="553"/>
    </row>
    <row r="1749" spans="1:8" ht="17.2" customHeight="1" thickBot="1" x14ac:dyDescent="0.35">
      <c r="A1749" s="536"/>
      <c r="B1749" s="537"/>
      <c r="C1749" s="537"/>
      <c r="D1749" s="537"/>
      <c r="E1749" s="537"/>
      <c r="F1749" s="537"/>
      <c r="G1749" s="537"/>
      <c r="H1749" s="538"/>
    </row>
    <row r="1750" spans="1:8" ht="28.15" customHeight="1" thickBot="1" x14ac:dyDescent="0.35">
      <c r="A1750" s="275">
        <v>4.18</v>
      </c>
      <c r="B1750" s="539" t="str">
        <f>VLOOKUP(A1750,PRESUPUESTO!$A$14:$G$71,2,)</f>
        <v>Tuberia PVC Conduit 1/2"</v>
      </c>
      <c r="C1750" s="540"/>
      <c r="D1750" s="540"/>
      <c r="E1750" s="540"/>
      <c r="F1750" s="541"/>
      <c r="G1750" s="57" t="s">
        <v>31</v>
      </c>
      <c r="H1750" s="58" t="str">
        <f>VLOOKUP(A1750,PRESUPUESTO!$A$14:$G$71,4,)</f>
        <v>ML</v>
      </c>
    </row>
    <row r="1751" spans="1:8" ht="17.2" customHeight="1" x14ac:dyDescent="0.3">
      <c r="A1751" s="59"/>
      <c r="H1751" s="60"/>
    </row>
    <row r="1752" spans="1:8" ht="17.2" customHeight="1" x14ac:dyDescent="0.3">
      <c r="A1752" s="61" t="s">
        <v>32</v>
      </c>
      <c r="B1752" s="525" t="s">
        <v>33</v>
      </c>
      <c r="C1752" s="526"/>
      <c r="D1752" s="526"/>
      <c r="E1752" s="526"/>
      <c r="F1752" s="526"/>
      <c r="G1752" s="527"/>
      <c r="H1752" s="60"/>
    </row>
    <row r="1753" spans="1:8" ht="17.2" customHeight="1" x14ac:dyDescent="0.3">
      <c r="A1753" s="62"/>
      <c r="B1753" s="518" t="s">
        <v>34</v>
      </c>
      <c r="C1753" s="519"/>
      <c r="D1753" s="62" t="s">
        <v>35</v>
      </c>
      <c r="E1753" s="62" t="s">
        <v>69</v>
      </c>
      <c r="F1753" s="62" t="s">
        <v>70</v>
      </c>
      <c r="G1753" s="62" t="s">
        <v>38</v>
      </c>
      <c r="H1753" s="60"/>
    </row>
    <row r="1754" spans="1:8" ht="17.2" customHeight="1" x14ac:dyDescent="0.3">
      <c r="A1754" s="63"/>
      <c r="B1754" s="542" t="s">
        <v>39</v>
      </c>
      <c r="C1754" s="543"/>
      <c r="D1754" s="63"/>
      <c r="E1754" s="64"/>
      <c r="F1754" s="64">
        <v>0.1</v>
      </c>
      <c r="G1754" s="65">
        <f>ROUND(H1772*F1754,2)</f>
        <v>827.27</v>
      </c>
      <c r="H1754" s="66"/>
    </row>
    <row r="1755" spans="1:8" ht="17.2" customHeight="1" x14ac:dyDescent="0.3">
      <c r="A1755" s="63"/>
      <c r="B1755" s="542"/>
      <c r="C1755" s="543"/>
      <c r="D1755" s="62"/>
      <c r="E1755" s="68"/>
      <c r="F1755" s="64"/>
      <c r="G1755" s="69"/>
      <c r="H1755" s="66"/>
    </row>
    <row r="1756" spans="1:8" ht="17.2" customHeight="1" x14ac:dyDescent="0.3">
      <c r="A1756" s="70"/>
      <c r="E1756" s="71" t="s">
        <v>40</v>
      </c>
      <c r="F1756" s="71"/>
      <c r="G1756" s="71"/>
      <c r="H1756" s="72">
        <f>ROUND(SUM(G1754:G1755),2)</f>
        <v>827.27</v>
      </c>
    </row>
    <row r="1757" spans="1:8" ht="17.2" customHeight="1" x14ac:dyDescent="0.3">
      <c r="A1757" s="61" t="s">
        <v>41</v>
      </c>
      <c r="B1757" s="525" t="s">
        <v>42</v>
      </c>
      <c r="C1757" s="526"/>
      <c r="D1757" s="526"/>
      <c r="E1757" s="526"/>
      <c r="F1757" s="526"/>
      <c r="G1757" s="527"/>
      <c r="H1757" s="73"/>
    </row>
    <row r="1758" spans="1:8" ht="17.2" customHeight="1" x14ac:dyDescent="0.3">
      <c r="A1758" s="62"/>
      <c r="B1758" s="518" t="s">
        <v>34</v>
      </c>
      <c r="C1758" s="519"/>
      <c r="D1758" s="62" t="s">
        <v>43</v>
      </c>
      <c r="E1758" s="74" t="s">
        <v>44</v>
      </c>
      <c r="F1758" s="74" t="s">
        <v>45</v>
      </c>
      <c r="G1758" s="74" t="s">
        <v>38</v>
      </c>
      <c r="H1758" s="73"/>
    </row>
    <row r="1759" spans="1:8" ht="19.149999999999999" customHeight="1" x14ac:dyDescent="0.3">
      <c r="A1759" s="63"/>
      <c r="B1759" s="554" t="s">
        <v>588</v>
      </c>
      <c r="C1759" s="555"/>
      <c r="D1759" s="93" t="s">
        <v>233</v>
      </c>
      <c r="E1759" s="94">
        <v>1</v>
      </c>
      <c r="F1759" s="272">
        <v>8000</v>
      </c>
      <c r="G1759" s="120">
        <f>ROUND(E1759*F1759,2)</f>
        <v>8000</v>
      </c>
      <c r="H1759" s="73"/>
    </row>
    <row r="1760" spans="1:8" ht="17.2" customHeight="1" x14ac:dyDescent="0.3">
      <c r="A1760" s="63"/>
      <c r="B1760" s="523" t="s">
        <v>453</v>
      </c>
      <c r="C1760" s="524"/>
      <c r="D1760" s="93" t="s">
        <v>218</v>
      </c>
      <c r="E1760" s="94">
        <v>0.33</v>
      </c>
      <c r="F1760" s="272">
        <v>3000</v>
      </c>
      <c r="G1760" s="67">
        <f t="shared" ref="G1760" si="20">ROUND(E1760*F1760,2)</f>
        <v>990</v>
      </c>
      <c r="H1760" s="73"/>
    </row>
    <row r="1761" spans="1:8" ht="17.2" customHeight="1" x14ac:dyDescent="0.3">
      <c r="A1761" s="63"/>
      <c r="B1761" s="523"/>
      <c r="C1761" s="524"/>
      <c r="D1761" s="93"/>
      <c r="E1761" s="94"/>
      <c r="F1761" s="95"/>
      <c r="G1761" s="67"/>
      <c r="H1761" s="73"/>
    </row>
    <row r="1762" spans="1:8" ht="17.2" customHeight="1" x14ac:dyDescent="0.3">
      <c r="A1762" s="63"/>
      <c r="B1762" s="546"/>
      <c r="C1762" s="547"/>
      <c r="D1762" s="270"/>
      <c r="E1762" s="270"/>
      <c r="F1762" s="95"/>
      <c r="G1762" s="67"/>
      <c r="H1762" s="73"/>
    </row>
    <row r="1763" spans="1:8" ht="17.2" customHeight="1" x14ac:dyDescent="0.3">
      <c r="A1763" s="63"/>
      <c r="B1763" s="546"/>
      <c r="C1763" s="547"/>
      <c r="D1763" s="270"/>
      <c r="E1763" s="270"/>
      <c r="F1763" s="95"/>
      <c r="G1763" s="67"/>
      <c r="H1763" s="73"/>
    </row>
    <row r="1764" spans="1:8" ht="17.2" customHeight="1" x14ac:dyDescent="0.3">
      <c r="A1764" s="63"/>
      <c r="B1764" s="523"/>
      <c r="C1764" s="524"/>
      <c r="D1764" s="93"/>
      <c r="E1764" s="94"/>
      <c r="F1764" s="95"/>
      <c r="G1764" s="67"/>
      <c r="H1764" s="73"/>
    </row>
    <row r="1765" spans="1:8" ht="17.2" customHeight="1" x14ac:dyDescent="0.3">
      <c r="A1765" s="63"/>
      <c r="B1765" s="523"/>
      <c r="C1765" s="524"/>
      <c r="D1765" s="93"/>
      <c r="E1765" s="94"/>
      <c r="F1765" s="95"/>
      <c r="G1765" s="67"/>
      <c r="H1765" s="73"/>
    </row>
    <row r="1766" spans="1:8" ht="17.2" customHeight="1" x14ac:dyDescent="0.3">
      <c r="A1766" s="70" t="s">
        <v>46</v>
      </c>
      <c r="E1766" s="71" t="s">
        <v>47</v>
      </c>
      <c r="F1766" s="71"/>
      <c r="G1766" s="71"/>
      <c r="H1766" s="76">
        <f>ROUND(SUM(G1759:G1765),2)</f>
        <v>8990</v>
      </c>
    </row>
    <row r="1767" spans="1:8" ht="17.2" customHeight="1" x14ac:dyDescent="0.3">
      <c r="A1767" s="61" t="s">
        <v>48</v>
      </c>
      <c r="B1767" s="525" t="s">
        <v>49</v>
      </c>
      <c r="C1767" s="526"/>
      <c r="D1767" s="526"/>
      <c r="E1767" s="526"/>
      <c r="F1767" s="526"/>
      <c r="G1767" s="527"/>
      <c r="H1767" s="73"/>
    </row>
    <row r="1768" spans="1:8" ht="17.2" customHeight="1" x14ac:dyDescent="0.3">
      <c r="A1768" s="62" t="s">
        <v>50</v>
      </c>
      <c r="B1768" s="62" t="s">
        <v>34</v>
      </c>
      <c r="C1768" s="62" t="s">
        <v>51</v>
      </c>
      <c r="D1768" s="62" t="s">
        <v>52</v>
      </c>
      <c r="E1768" s="74" t="s">
        <v>53</v>
      </c>
      <c r="F1768" s="64" t="s">
        <v>310</v>
      </c>
      <c r="G1768" s="64" t="s">
        <v>38</v>
      </c>
      <c r="H1768" s="73"/>
    </row>
    <row r="1769" spans="1:8" ht="17.2" customHeight="1" x14ac:dyDescent="0.3">
      <c r="A1769" s="62">
        <v>1</v>
      </c>
      <c r="B1769" s="63" t="s">
        <v>79</v>
      </c>
      <c r="C1769" s="77">
        <v>120000</v>
      </c>
      <c r="D1769" s="78">
        <v>0.75</v>
      </c>
      <c r="E1769" s="79">
        <f>+(A1769*C1769)+(A1769*C1769*D1769)</f>
        <v>210000</v>
      </c>
      <c r="F1769" s="75">
        <v>55</v>
      </c>
      <c r="G1769" s="65">
        <f>ROUND(E1769/(F1769),2)</f>
        <v>3818.18</v>
      </c>
      <c r="H1769" s="73"/>
    </row>
    <row r="1770" spans="1:8" ht="17.2" customHeight="1" x14ac:dyDescent="0.3">
      <c r="A1770" s="62">
        <v>2</v>
      </c>
      <c r="B1770" s="63" t="s">
        <v>80</v>
      </c>
      <c r="C1770" s="77">
        <v>70000</v>
      </c>
      <c r="D1770" s="78">
        <v>0.75</v>
      </c>
      <c r="E1770" s="79">
        <f>+(A1770*C1770)+(A1770*C1770*D1770)</f>
        <v>245000</v>
      </c>
      <c r="F1770" s="75">
        <v>55</v>
      </c>
      <c r="G1770" s="65">
        <f>ROUND(E1770/(F1770),2)</f>
        <v>4454.55</v>
      </c>
      <c r="H1770" s="73"/>
    </row>
    <row r="1771" spans="1:8" ht="17.2" customHeight="1" x14ac:dyDescent="0.3">
      <c r="A1771" s="63"/>
      <c r="B1771" s="63"/>
      <c r="C1771" s="63"/>
      <c r="D1771" s="63"/>
      <c r="E1771" s="64"/>
      <c r="F1771" s="64"/>
      <c r="G1771" s="64"/>
      <c r="H1771" s="73"/>
    </row>
    <row r="1772" spans="1:8" ht="17.2" customHeight="1" x14ac:dyDescent="0.3">
      <c r="A1772" s="70"/>
      <c r="E1772" s="71" t="s">
        <v>54</v>
      </c>
      <c r="F1772" s="71"/>
      <c r="G1772" s="71"/>
      <c r="H1772" s="72">
        <f>ROUND(SUM(G1769)+(G1770),2)</f>
        <v>8272.73</v>
      </c>
    </row>
    <row r="1773" spans="1:8" ht="17.2" customHeight="1" x14ac:dyDescent="0.3">
      <c r="A1773" s="61" t="s">
        <v>55</v>
      </c>
      <c r="B1773" s="525" t="s">
        <v>56</v>
      </c>
      <c r="C1773" s="526"/>
      <c r="D1773" s="526"/>
      <c r="E1773" s="526"/>
      <c r="F1773" s="526"/>
      <c r="G1773" s="527"/>
      <c r="H1773" s="73"/>
    </row>
    <row r="1774" spans="1:8" ht="17.2" customHeight="1" x14ac:dyDescent="0.3">
      <c r="A1774" s="63"/>
      <c r="B1774" s="63" t="s">
        <v>34</v>
      </c>
      <c r="C1774" s="62" t="s">
        <v>43</v>
      </c>
      <c r="D1774" s="62" t="s">
        <v>57</v>
      </c>
      <c r="E1774" s="62" t="s">
        <v>58</v>
      </c>
      <c r="F1774" s="62"/>
      <c r="G1774" s="64" t="s">
        <v>59</v>
      </c>
      <c r="H1774" s="73"/>
    </row>
    <row r="1775" spans="1:8" ht="17.2" customHeight="1" x14ac:dyDescent="0.3">
      <c r="A1775" s="63"/>
      <c r="B1775" s="63" t="s">
        <v>82</v>
      </c>
      <c r="C1775" s="80" t="s">
        <v>83</v>
      </c>
      <c r="D1775" s="63">
        <v>5.0000000000000001E-3</v>
      </c>
      <c r="E1775" s="64">
        <v>50000</v>
      </c>
      <c r="F1775" s="64"/>
      <c r="G1775" s="64">
        <f>D1775*E1775</f>
        <v>250</v>
      </c>
      <c r="H1775" s="73"/>
    </row>
    <row r="1776" spans="1:8" ht="17.2" customHeight="1" x14ac:dyDescent="0.3">
      <c r="A1776" s="63"/>
      <c r="B1776" s="63"/>
      <c r="C1776" s="81"/>
      <c r="D1776" s="63"/>
      <c r="E1776" s="64"/>
      <c r="F1776" s="64"/>
      <c r="G1776" s="64"/>
      <c r="H1776" s="73"/>
    </row>
    <row r="1777" spans="1:8" ht="17.2" customHeight="1" x14ac:dyDescent="0.3">
      <c r="A1777" s="63"/>
      <c r="B1777" s="63"/>
      <c r="C1777" s="63"/>
      <c r="D1777" s="63"/>
      <c r="E1777" s="64"/>
      <c r="F1777" s="64"/>
      <c r="G1777" s="64"/>
      <c r="H1777" s="73"/>
    </row>
    <row r="1778" spans="1:8" ht="17.2" customHeight="1" x14ac:dyDescent="0.3">
      <c r="A1778" s="70"/>
      <c r="E1778" s="71" t="s">
        <v>54</v>
      </c>
      <c r="F1778" s="71"/>
      <c r="G1778" s="71"/>
      <c r="H1778" s="119">
        <f>ROUND(SUM(G1775)+(G1776),0)</f>
        <v>250</v>
      </c>
    </row>
    <row r="1779" spans="1:8" ht="17.2" customHeight="1" x14ac:dyDescent="0.3">
      <c r="A1779" s="59"/>
      <c r="E1779" s="71"/>
      <c r="F1779" s="71"/>
      <c r="G1779" s="71"/>
      <c r="H1779" s="73"/>
    </row>
    <row r="1780" spans="1:8" ht="17.2" customHeight="1" x14ac:dyDescent="0.3">
      <c r="A1780" s="59"/>
      <c r="D1780" s="82" t="s">
        <v>60</v>
      </c>
      <c r="E1780" s="83"/>
      <c r="F1780" s="83"/>
      <c r="G1780" s="83"/>
      <c r="H1780" s="72">
        <f>ROUND(SUM(H1756:H1779),2)</f>
        <v>18340</v>
      </c>
    </row>
    <row r="1781" spans="1:8" ht="17.2" customHeight="1" x14ac:dyDescent="0.3">
      <c r="A1781" s="59"/>
      <c r="E1781" s="71"/>
      <c r="F1781" s="71"/>
      <c r="G1781" s="71"/>
      <c r="H1781" s="73"/>
    </row>
    <row r="1782" spans="1:8" ht="17.2" customHeight="1" x14ac:dyDescent="0.3">
      <c r="A1782" s="61" t="s">
        <v>61</v>
      </c>
      <c r="B1782" s="525" t="s">
        <v>62</v>
      </c>
      <c r="C1782" s="526"/>
      <c r="D1782" s="526"/>
      <c r="E1782" s="526"/>
      <c r="F1782" s="526"/>
      <c r="G1782" s="527"/>
      <c r="H1782" s="73"/>
    </row>
    <row r="1783" spans="1:8" ht="17.2" customHeight="1" x14ac:dyDescent="0.3">
      <c r="A1783" s="62"/>
      <c r="B1783" s="518" t="s">
        <v>34</v>
      </c>
      <c r="C1783" s="519"/>
      <c r="D1783" s="518" t="s">
        <v>63</v>
      </c>
      <c r="E1783" s="519"/>
      <c r="F1783" s="528" t="s">
        <v>64</v>
      </c>
      <c r="G1783" s="529"/>
      <c r="H1783" s="73"/>
    </row>
    <row r="1784" spans="1:8" ht="17.2" customHeight="1" x14ac:dyDescent="0.3">
      <c r="A1784" s="63"/>
      <c r="B1784" s="518" t="s">
        <v>20</v>
      </c>
      <c r="C1784" s="519"/>
      <c r="D1784" s="520">
        <v>0.28000000000000003</v>
      </c>
      <c r="E1784" s="519"/>
      <c r="F1784" s="521">
        <f>+H1780*D1784</f>
        <v>5135.2000000000007</v>
      </c>
      <c r="G1784" s="522"/>
      <c r="H1784" s="73"/>
    </row>
    <row r="1785" spans="1:8" ht="17.2" customHeight="1" x14ac:dyDescent="0.3">
      <c r="A1785" s="63"/>
      <c r="B1785" s="518" t="s">
        <v>21</v>
      </c>
      <c r="C1785" s="519"/>
      <c r="D1785" s="520">
        <v>0.01</v>
      </c>
      <c r="E1785" s="519"/>
      <c r="F1785" s="521">
        <f>+H1780*D1785</f>
        <v>183.4</v>
      </c>
      <c r="G1785" s="522"/>
      <c r="H1785" s="73"/>
    </row>
    <row r="1786" spans="1:8" ht="17.2" customHeight="1" x14ac:dyDescent="0.3">
      <c r="A1786" s="63"/>
      <c r="B1786" s="518" t="s">
        <v>22</v>
      </c>
      <c r="C1786" s="519"/>
      <c r="D1786" s="520">
        <v>0.03</v>
      </c>
      <c r="E1786" s="519"/>
      <c r="F1786" s="521">
        <f>+H1776*D1786</f>
        <v>0</v>
      </c>
      <c r="G1786" s="522"/>
      <c r="H1786" s="73"/>
    </row>
    <row r="1787" spans="1:8" ht="17.2" customHeight="1" x14ac:dyDescent="0.3">
      <c r="A1787" s="63"/>
      <c r="B1787" s="518" t="s">
        <v>188</v>
      </c>
      <c r="C1787" s="519"/>
      <c r="D1787" s="520">
        <v>0.19</v>
      </c>
      <c r="E1787" s="519"/>
      <c r="F1787" s="521">
        <f>D1787*F1786</f>
        <v>0</v>
      </c>
      <c r="G1787" s="522"/>
      <c r="H1787" s="73"/>
    </row>
    <row r="1788" spans="1:8" ht="17.2" customHeight="1" x14ac:dyDescent="0.3">
      <c r="A1788" s="59"/>
      <c r="D1788" s="82" t="s">
        <v>65</v>
      </c>
      <c r="E1788" s="83"/>
      <c r="F1788" s="83"/>
      <c r="G1788" s="83"/>
      <c r="H1788" s="72">
        <f>SUM(F1784:G1787)</f>
        <v>5318.6</v>
      </c>
    </row>
    <row r="1789" spans="1:8" ht="17.2" customHeight="1" x14ac:dyDescent="0.3">
      <c r="A1789" s="59"/>
      <c r="E1789" s="71"/>
      <c r="F1789" s="71"/>
      <c r="G1789" s="71"/>
      <c r="H1789" s="73"/>
    </row>
    <row r="1790" spans="1:8" ht="17.2" customHeight="1" x14ac:dyDescent="0.3">
      <c r="A1790" s="59"/>
      <c r="D1790" s="82" t="s">
        <v>66</v>
      </c>
      <c r="E1790" s="83"/>
      <c r="F1790" s="83"/>
      <c r="G1790" s="71"/>
      <c r="H1790" s="72">
        <f>H1776+H1788</f>
        <v>5318.6</v>
      </c>
    </row>
    <row r="1791" spans="1:8" ht="17.2" customHeight="1" x14ac:dyDescent="0.3">
      <c r="A1791" s="59"/>
      <c r="D1791" s="82"/>
      <c r="E1791" s="83"/>
      <c r="F1791" s="83"/>
      <c r="G1791" s="71"/>
      <c r="H1791" s="73"/>
    </row>
    <row r="1792" spans="1:8" ht="17.2" customHeight="1" x14ac:dyDescent="0.3">
      <c r="A1792" s="59"/>
      <c r="E1792" s="83"/>
      <c r="F1792" s="83"/>
      <c r="G1792" s="71"/>
      <c r="H1792" s="73"/>
    </row>
    <row r="1793" spans="1:8" ht="17.2" customHeight="1" x14ac:dyDescent="0.3">
      <c r="A1793" s="84"/>
      <c r="B1793" s="85"/>
      <c r="E1793" s="46"/>
      <c r="F1793" s="47"/>
      <c r="G1793" s="48"/>
      <c r="H1793" s="73"/>
    </row>
    <row r="1794" spans="1:8" ht="17.2" customHeight="1" x14ac:dyDescent="0.3">
      <c r="A1794" s="86" t="s">
        <v>67</v>
      </c>
      <c r="B1794" s="50" t="s">
        <v>68</v>
      </c>
      <c r="E1794" s="49" t="s">
        <v>27</v>
      </c>
      <c r="F1794" s="50"/>
      <c r="G1794" s="50"/>
      <c r="H1794" s="87"/>
    </row>
    <row r="1795" spans="1:8" ht="17.2" customHeight="1" x14ac:dyDescent="0.3">
      <c r="A1795" s="88" t="s">
        <v>28</v>
      </c>
      <c r="B1795" s="50"/>
      <c r="E1795" s="50" t="str">
        <f ca="1">+$E$52</f>
        <v>SECRETARIO DE PLANEACION Y OBRAS PUBLICAS</v>
      </c>
      <c r="F1795" s="50"/>
      <c r="G1795" s="50"/>
      <c r="H1795" s="87"/>
    </row>
    <row r="1796" spans="1:8" ht="17.2" customHeight="1" x14ac:dyDescent="0.3">
      <c r="A1796" s="88"/>
      <c r="B1796" s="50"/>
      <c r="E1796" s="50" t="str">
        <f ca="1">+$E$53</f>
        <v>SAN MIGUEL - PUTUMAYO</v>
      </c>
      <c r="F1796" s="50"/>
      <c r="G1796" s="50"/>
      <c r="H1796" s="87"/>
    </row>
    <row r="1797" spans="1:8" ht="17.2" customHeight="1" x14ac:dyDescent="0.3">
      <c r="A1797" s="50"/>
      <c r="B1797" s="50"/>
      <c r="E1797" s="50"/>
      <c r="F1797" s="50"/>
      <c r="G1797" s="50"/>
      <c r="H1797" s="50"/>
    </row>
    <row r="1798" spans="1:8" ht="17.2" customHeight="1" x14ac:dyDescent="0.3">
      <c r="A1798" s="50"/>
      <c r="B1798" s="50"/>
      <c r="E1798" s="50"/>
      <c r="F1798" s="50"/>
      <c r="G1798" s="50"/>
      <c r="H1798" s="50"/>
    </row>
    <row r="1799" spans="1:8" ht="17.2" customHeight="1" x14ac:dyDescent="0.3">
      <c r="A1799" s="50"/>
      <c r="B1799" s="50"/>
      <c r="E1799" s="50"/>
      <c r="F1799" s="50"/>
      <c r="G1799" s="50"/>
      <c r="H1799" s="50"/>
    </row>
    <row r="1800" spans="1:8" ht="17.2" customHeight="1" x14ac:dyDescent="0.3">
      <c r="A1800" s="50"/>
      <c r="B1800" s="50"/>
      <c r="E1800" s="50"/>
      <c r="F1800" s="50"/>
      <c r="G1800" s="50"/>
      <c r="H1800" s="50"/>
    </row>
    <row r="1801" spans="1:8" ht="17.2" customHeight="1" x14ac:dyDescent="0.3">
      <c r="A1801" s="50"/>
      <c r="B1801" s="50"/>
      <c r="E1801" s="50"/>
      <c r="F1801" s="50"/>
      <c r="G1801" s="50"/>
      <c r="H1801" s="50"/>
    </row>
    <row r="1802" spans="1:8" ht="17.2" customHeight="1" x14ac:dyDescent="0.3">
      <c r="A1802" s="50"/>
      <c r="B1802" s="50"/>
      <c r="E1802" s="50"/>
      <c r="F1802" s="50"/>
      <c r="G1802" s="50"/>
      <c r="H1802" s="50"/>
    </row>
    <row r="1803" spans="1:8" ht="17.2" customHeight="1" x14ac:dyDescent="0.3">
      <c r="A1803" s="50"/>
      <c r="B1803" s="50"/>
      <c r="E1803" s="50"/>
      <c r="F1803" s="50"/>
      <c r="G1803" s="50"/>
      <c r="H1803" s="50"/>
    </row>
    <row r="1804" spans="1:8" ht="17.2" customHeight="1" x14ac:dyDescent="0.3">
      <c r="A1804" s="556"/>
      <c r="B1804" s="557"/>
      <c r="C1804" s="380" t="s">
        <v>2</v>
      </c>
      <c r="D1804" s="568" t="s">
        <v>3</v>
      </c>
      <c r="E1804" s="569"/>
      <c r="F1804" s="279">
        <v>103</v>
      </c>
      <c r="G1804" s="548"/>
      <c r="H1804" s="549"/>
    </row>
    <row r="1805" spans="1:8" ht="17.2" customHeight="1" x14ac:dyDescent="0.3">
      <c r="A1805" s="558"/>
      <c r="B1805" s="559"/>
      <c r="C1805" s="381"/>
      <c r="D1805" s="396" t="s">
        <v>4</v>
      </c>
      <c r="E1805" s="397"/>
      <c r="F1805" s="400">
        <v>51</v>
      </c>
      <c r="G1805" s="550"/>
      <c r="H1805" s="551"/>
    </row>
    <row r="1806" spans="1:8" ht="17.2" customHeight="1" x14ac:dyDescent="0.3">
      <c r="A1806" s="558"/>
      <c r="B1806" s="559"/>
      <c r="C1806" s="5" t="s">
        <v>5</v>
      </c>
      <c r="D1806" s="398"/>
      <c r="E1806" s="399"/>
      <c r="F1806" s="401"/>
      <c r="G1806" s="550"/>
      <c r="H1806" s="551"/>
    </row>
    <row r="1807" spans="1:8" ht="26.85" customHeight="1" x14ac:dyDescent="0.3">
      <c r="A1807" s="558"/>
      <c r="B1807" s="559"/>
      <c r="C1807" s="55" t="s">
        <v>6</v>
      </c>
      <c r="D1807" s="402" t="s">
        <v>7</v>
      </c>
      <c r="E1807" s="403"/>
      <c r="F1807" s="7">
        <v>1</v>
      </c>
      <c r="G1807" s="550"/>
      <c r="H1807" s="551"/>
    </row>
    <row r="1808" spans="1:8" ht="17.2" customHeight="1" x14ac:dyDescent="0.3">
      <c r="A1808" s="558"/>
      <c r="B1808" s="559"/>
      <c r="C1808" s="530" t="s">
        <v>8</v>
      </c>
      <c r="D1808" s="532" t="s">
        <v>9</v>
      </c>
      <c r="E1808" s="533"/>
      <c r="F1808" s="5" t="s">
        <v>10</v>
      </c>
      <c r="G1808" s="550"/>
      <c r="H1808" s="551"/>
    </row>
    <row r="1809" spans="1:8" ht="17.2" customHeight="1" x14ac:dyDescent="0.3">
      <c r="A1809" s="560"/>
      <c r="B1809" s="561"/>
      <c r="C1809" s="531"/>
      <c r="D1809" s="534"/>
      <c r="E1809" s="535"/>
      <c r="F1809" s="8">
        <f>$F$6</f>
        <v>45402</v>
      </c>
      <c r="G1809" s="552"/>
      <c r="H1809" s="553"/>
    </row>
    <row r="1810" spans="1:8" ht="17.2" customHeight="1" thickBot="1" x14ac:dyDescent="0.35">
      <c r="A1810" s="536"/>
      <c r="B1810" s="537"/>
      <c r="C1810" s="537"/>
      <c r="D1810" s="537"/>
      <c r="E1810" s="537"/>
      <c r="F1810" s="537"/>
      <c r="G1810" s="537"/>
      <c r="H1810" s="538"/>
    </row>
    <row r="1811" spans="1:8" ht="28.15" customHeight="1" thickBot="1" x14ac:dyDescent="0.35">
      <c r="A1811" s="92">
        <v>5.0999999999999996</v>
      </c>
      <c r="B1811" s="539" t="str">
        <f>VLOOKUP(A1811,PRESUPUESTO!$A$14:$G$71,2,)</f>
        <v xml:space="preserve">Suministro e instalacion de correas metalicas en perfil retangular de ( 120 x 50 x 2 mm) </v>
      </c>
      <c r="C1811" s="540"/>
      <c r="D1811" s="540"/>
      <c r="E1811" s="540"/>
      <c r="F1811" s="541"/>
      <c r="G1811" s="57" t="s">
        <v>31</v>
      </c>
      <c r="H1811" s="58" t="str">
        <f>VLOOKUP(A1811,PRESUPUESTO!$A$14:$G$71,4,)</f>
        <v>ML</v>
      </c>
    </row>
    <row r="1812" spans="1:8" ht="17.2" customHeight="1" x14ac:dyDescent="0.3">
      <c r="A1812" s="59"/>
      <c r="H1812" s="60"/>
    </row>
    <row r="1813" spans="1:8" ht="17.2" customHeight="1" x14ac:dyDescent="0.3">
      <c r="A1813" s="61" t="s">
        <v>32</v>
      </c>
      <c r="B1813" s="525" t="s">
        <v>33</v>
      </c>
      <c r="C1813" s="526"/>
      <c r="D1813" s="526"/>
      <c r="E1813" s="526"/>
      <c r="F1813" s="526"/>
      <c r="G1813" s="527"/>
      <c r="H1813" s="60"/>
    </row>
    <row r="1814" spans="1:8" ht="17.2" customHeight="1" x14ac:dyDescent="0.3">
      <c r="A1814" s="62"/>
      <c r="B1814" s="518" t="s">
        <v>34</v>
      </c>
      <c r="C1814" s="519"/>
      <c r="D1814" s="62" t="s">
        <v>35</v>
      </c>
      <c r="E1814" s="62" t="s">
        <v>69</v>
      </c>
      <c r="F1814" s="62" t="s">
        <v>70</v>
      </c>
      <c r="G1814" s="62" t="s">
        <v>38</v>
      </c>
      <c r="H1814" s="60"/>
    </row>
    <row r="1815" spans="1:8" ht="17.2" customHeight="1" x14ac:dyDescent="0.3">
      <c r="A1815" s="63"/>
      <c r="B1815" s="542" t="s">
        <v>39</v>
      </c>
      <c r="C1815" s="543"/>
      <c r="D1815" s="63"/>
      <c r="E1815" s="64"/>
      <c r="F1815" s="64">
        <v>0.1</v>
      </c>
      <c r="G1815" s="65">
        <f>ROUND(H1833*F1815,2)</f>
        <v>910</v>
      </c>
      <c r="H1815" s="66"/>
    </row>
    <row r="1816" spans="1:8" ht="17.2" customHeight="1" x14ac:dyDescent="0.3">
      <c r="A1816" s="63"/>
      <c r="B1816" s="542" t="s">
        <v>222</v>
      </c>
      <c r="C1816" s="543"/>
      <c r="D1816" s="62"/>
      <c r="E1816" s="68"/>
      <c r="F1816" s="64"/>
      <c r="G1816" s="69">
        <f>E1816*F1816</f>
        <v>0</v>
      </c>
      <c r="H1816" s="66"/>
    </row>
    <row r="1817" spans="1:8" ht="17.2" customHeight="1" x14ac:dyDescent="0.3">
      <c r="A1817" s="63"/>
      <c r="B1817" s="542"/>
      <c r="C1817" s="543"/>
      <c r="D1817" s="62"/>
      <c r="E1817" s="68"/>
      <c r="F1817" s="64"/>
      <c r="G1817" s="69">
        <f>E1817*F1817</f>
        <v>0</v>
      </c>
      <c r="H1817" s="66"/>
    </row>
    <row r="1818" spans="1:8" ht="17.2" customHeight="1" x14ac:dyDescent="0.3">
      <c r="A1818" s="70"/>
      <c r="E1818" s="71" t="s">
        <v>40</v>
      </c>
      <c r="F1818" s="71"/>
      <c r="G1818" s="71"/>
      <c r="H1818" s="72">
        <f>ROUND(SUM(G1815:G1817),2)</f>
        <v>910</v>
      </c>
    </row>
    <row r="1819" spans="1:8" ht="17.2" customHeight="1" x14ac:dyDescent="0.3">
      <c r="A1819" s="61" t="s">
        <v>41</v>
      </c>
      <c r="B1819" s="525" t="s">
        <v>42</v>
      </c>
      <c r="C1819" s="526"/>
      <c r="D1819" s="526"/>
      <c r="E1819" s="526"/>
      <c r="F1819" s="526"/>
      <c r="G1819" s="527"/>
      <c r="H1819" s="73"/>
    </row>
    <row r="1820" spans="1:8" ht="17.2" customHeight="1" x14ac:dyDescent="0.3">
      <c r="A1820" s="62"/>
      <c r="B1820" s="518" t="s">
        <v>34</v>
      </c>
      <c r="C1820" s="519"/>
      <c r="D1820" s="62" t="s">
        <v>43</v>
      </c>
      <c r="E1820" s="74" t="s">
        <v>44</v>
      </c>
      <c r="F1820" s="74" t="s">
        <v>45</v>
      </c>
      <c r="G1820" s="74" t="s">
        <v>38</v>
      </c>
      <c r="H1820" s="73"/>
    </row>
    <row r="1821" spans="1:8" ht="18.649999999999999" customHeight="1" x14ac:dyDescent="0.3">
      <c r="A1821" s="63"/>
      <c r="B1821" s="554" t="s">
        <v>215</v>
      </c>
      <c r="C1821" s="555"/>
      <c r="D1821" s="93" t="s">
        <v>211</v>
      </c>
      <c r="E1821" s="94">
        <v>1.05</v>
      </c>
      <c r="F1821" s="95">
        <v>30000</v>
      </c>
      <c r="G1821" s="120">
        <f>ROUND(E1821*F1821,2)</f>
        <v>31500</v>
      </c>
      <c r="H1821" s="73"/>
    </row>
    <row r="1822" spans="1:8" ht="17.2" customHeight="1" x14ac:dyDescent="0.3">
      <c r="A1822" s="63"/>
      <c r="B1822" s="523" t="s">
        <v>216</v>
      </c>
      <c r="C1822" s="524"/>
      <c r="D1822" s="93" t="s">
        <v>180</v>
      </c>
      <c r="E1822" s="94">
        <v>0.2</v>
      </c>
      <c r="F1822" s="95">
        <v>18000</v>
      </c>
      <c r="G1822" s="67">
        <f t="shared" ref="G1822:G1823" si="21">ROUND(E1822*F1822,2)</f>
        <v>3600</v>
      </c>
      <c r="H1822" s="73"/>
    </row>
    <row r="1823" spans="1:8" ht="17.2" customHeight="1" x14ac:dyDescent="0.3">
      <c r="A1823" s="63"/>
      <c r="B1823" s="523" t="s">
        <v>217</v>
      </c>
      <c r="C1823" s="524"/>
      <c r="D1823" s="93" t="s">
        <v>218</v>
      </c>
      <c r="E1823" s="94">
        <v>0.03</v>
      </c>
      <c r="F1823" s="95">
        <v>6000</v>
      </c>
      <c r="G1823" s="67">
        <f t="shared" si="21"/>
        <v>180</v>
      </c>
      <c r="H1823" s="73"/>
    </row>
    <row r="1824" spans="1:8" ht="17.2" customHeight="1" x14ac:dyDescent="0.3">
      <c r="A1824" s="63"/>
      <c r="B1824" s="523" t="s">
        <v>219</v>
      </c>
      <c r="C1824" s="524"/>
      <c r="D1824" s="93" t="s">
        <v>220</v>
      </c>
      <c r="E1824" s="94">
        <v>0.05</v>
      </c>
      <c r="F1824" s="95">
        <v>75000</v>
      </c>
      <c r="G1824" s="67">
        <f>E1824*F1824</f>
        <v>3750</v>
      </c>
      <c r="H1824" s="73"/>
    </row>
    <row r="1825" spans="1:8" ht="17.2" customHeight="1" x14ac:dyDescent="0.3">
      <c r="A1825" s="63"/>
      <c r="B1825" s="523" t="s">
        <v>221</v>
      </c>
      <c r="C1825" s="524"/>
      <c r="D1825" s="93" t="s">
        <v>220</v>
      </c>
      <c r="E1825" s="94">
        <v>0.05</v>
      </c>
      <c r="F1825" s="95">
        <v>84000</v>
      </c>
      <c r="G1825" s="67">
        <f>E1825*F1825</f>
        <v>4200</v>
      </c>
      <c r="H1825" s="73"/>
    </row>
    <row r="1826" spans="1:8" ht="17.2" customHeight="1" x14ac:dyDescent="0.3">
      <c r="A1826" s="63"/>
      <c r="B1826" s="523" t="s">
        <v>261</v>
      </c>
      <c r="C1826" s="524"/>
      <c r="D1826" s="93" t="s">
        <v>212</v>
      </c>
      <c r="E1826" s="94">
        <v>0.1</v>
      </c>
      <c r="F1826" s="95">
        <v>600</v>
      </c>
      <c r="G1826" s="67">
        <f>E1826*F1826</f>
        <v>60</v>
      </c>
      <c r="H1826" s="73"/>
    </row>
    <row r="1827" spans="1:8" ht="17.2" customHeight="1" x14ac:dyDescent="0.3">
      <c r="A1827" s="70" t="s">
        <v>46</v>
      </c>
      <c r="E1827" s="71" t="s">
        <v>47</v>
      </c>
      <c r="F1827" s="71"/>
      <c r="G1827" s="71"/>
      <c r="H1827" s="76">
        <f>ROUND(SUM(G1821:G1826),2)</f>
        <v>43290</v>
      </c>
    </row>
    <row r="1828" spans="1:8" ht="17.2" customHeight="1" x14ac:dyDescent="0.3">
      <c r="A1828" s="61" t="s">
        <v>48</v>
      </c>
      <c r="B1828" s="525" t="s">
        <v>49</v>
      </c>
      <c r="C1828" s="526"/>
      <c r="D1828" s="526"/>
      <c r="E1828" s="526"/>
      <c r="F1828" s="526"/>
      <c r="G1828" s="527"/>
      <c r="H1828" s="73"/>
    </row>
    <row r="1829" spans="1:8" ht="17.2" customHeight="1" x14ac:dyDescent="0.3">
      <c r="A1829" s="62" t="s">
        <v>50</v>
      </c>
      <c r="B1829" s="62" t="s">
        <v>34</v>
      </c>
      <c r="C1829" s="62" t="s">
        <v>51</v>
      </c>
      <c r="D1829" s="62" t="s">
        <v>52</v>
      </c>
      <c r="E1829" s="74" t="s">
        <v>53</v>
      </c>
      <c r="F1829" s="64" t="s">
        <v>238</v>
      </c>
      <c r="G1829" s="64" t="s">
        <v>38</v>
      </c>
      <c r="H1829" s="73"/>
    </row>
    <row r="1830" spans="1:8" ht="17.2" customHeight="1" x14ac:dyDescent="0.3">
      <c r="A1830" s="62">
        <v>1</v>
      </c>
      <c r="B1830" s="63" t="s">
        <v>79</v>
      </c>
      <c r="C1830" s="77">
        <v>120000</v>
      </c>
      <c r="D1830" s="78">
        <v>0.75</v>
      </c>
      <c r="E1830" s="79">
        <f>+(A1830*C1830)+(A1830*C1830*D1830)</f>
        <v>210000</v>
      </c>
      <c r="F1830" s="75">
        <v>50</v>
      </c>
      <c r="G1830" s="65">
        <f>ROUND(E1830/(F1830),2)</f>
        <v>4200</v>
      </c>
      <c r="H1830" s="73"/>
    </row>
    <row r="1831" spans="1:8" ht="17.2" customHeight="1" x14ac:dyDescent="0.3">
      <c r="A1831" s="62">
        <v>2</v>
      </c>
      <c r="B1831" s="63" t="s">
        <v>80</v>
      </c>
      <c r="C1831" s="77">
        <v>70000</v>
      </c>
      <c r="D1831" s="78">
        <v>0.75</v>
      </c>
      <c r="E1831" s="79">
        <f>+(A1831*C1831)+(A1831*C1831*D1831)</f>
        <v>245000</v>
      </c>
      <c r="F1831" s="75">
        <v>50</v>
      </c>
      <c r="G1831" s="65">
        <f>ROUND(E1831/(F1831),2)</f>
        <v>4900</v>
      </c>
      <c r="H1831" s="73"/>
    </row>
    <row r="1832" spans="1:8" ht="17.2" customHeight="1" x14ac:dyDescent="0.3">
      <c r="A1832" s="63"/>
      <c r="B1832" s="63"/>
      <c r="C1832" s="63"/>
      <c r="D1832" s="63"/>
      <c r="E1832" s="64"/>
      <c r="F1832" s="64"/>
      <c r="G1832" s="64"/>
      <c r="H1832" s="73"/>
    </row>
    <row r="1833" spans="1:8" ht="17.2" customHeight="1" x14ac:dyDescent="0.3">
      <c r="A1833" s="70"/>
      <c r="E1833" s="71" t="s">
        <v>54</v>
      </c>
      <c r="F1833" s="71"/>
      <c r="G1833" s="71"/>
      <c r="H1833" s="72">
        <f>ROUND(SUM(G1830)+(G1831),2)</f>
        <v>9100</v>
      </c>
    </row>
    <row r="1834" spans="1:8" ht="17.2" customHeight="1" x14ac:dyDescent="0.3">
      <c r="A1834" s="61" t="s">
        <v>55</v>
      </c>
      <c r="B1834" s="525" t="s">
        <v>56</v>
      </c>
      <c r="C1834" s="526"/>
      <c r="D1834" s="526"/>
      <c r="E1834" s="526"/>
      <c r="F1834" s="526"/>
      <c r="G1834" s="527"/>
      <c r="H1834" s="73"/>
    </row>
    <row r="1835" spans="1:8" ht="17.2" customHeight="1" x14ac:dyDescent="0.3">
      <c r="A1835" s="63"/>
      <c r="B1835" s="63" t="s">
        <v>34</v>
      </c>
      <c r="C1835" s="62" t="s">
        <v>43</v>
      </c>
      <c r="D1835" s="62" t="s">
        <v>57</v>
      </c>
      <c r="E1835" s="62" t="s">
        <v>58</v>
      </c>
      <c r="F1835" s="62"/>
      <c r="G1835" s="64" t="s">
        <v>59</v>
      </c>
      <c r="H1835" s="73"/>
    </row>
    <row r="1836" spans="1:8" ht="17.2" customHeight="1" x14ac:dyDescent="0.3">
      <c r="A1836" s="63"/>
      <c r="B1836" s="63" t="s">
        <v>82</v>
      </c>
      <c r="C1836" s="80" t="s">
        <v>83</v>
      </c>
      <c r="D1836" s="63">
        <v>5.0000000000000001E-3</v>
      </c>
      <c r="E1836" s="64">
        <v>50000</v>
      </c>
      <c r="F1836" s="64"/>
      <c r="G1836" s="64">
        <f>D1836*E1836</f>
        <v>250</v>
      </c>
      <c r="H1836" s="73"/>
    </row>
    <row r="1837" spans="1:8" ht="17.2" customHeight="1" x14ac:dyDescent="0.3">
      <c r="A1837" s="63"/>
      <c r="B1837" s="63"/>
      <c r="C1837" s="81"/>
      <c r="D1837" s="63"/>
      <c r="E1837" s="64"/>
      <c r="F1837" s="64"/>
      <c r="G1837" s="64"/>
      <c r="H1837" s="73"/>
    </row>
    <row r="1838" spans="1:8" ht="17.2" customHeight="1" x14ac:dyDescent="0.3">
      <c r="A1838" s="63"/>
      <c r="B1838" s="63"/>
      <c r="C1838" s="63"/>
      <c r="D1838" s="63"/>
      <c r="E1838" s="64"/>
      <c r="F1838" s="64"/>
      <c r="G1838" s="64"/>
      <c r="H1838" s="73"/>
    </row>
    <row r="1839" spans="1:8" ht="17.2" customHeight="1" x14ac:dyDescent="0.3">
      <c r="A1839" s="70"/>
      <c r="E1839" s="71" t="s">
        <v>54</v>
      </c>
      <c r="F1839" s="71"/>
      <c r="G1839" s="71"/>
      <c r="H1839" s="119">
        <f>ROUND(SUM(G1836)+(G1837),0)</f>
        <v>250</v>
      </c>
    </row>
    <row r="1840" spans="1:8" ht="17.2" customHeight="1" x14ac:dyDescent="0.3">
      <c r="A1840" s="59"/>
      <c r="E1840" s="71"/>
      <c r="F1840" s="71"/>
      <c r="G1840" s="71"/>
      <c r="H1840" s="73"/>
    </row>
    <row r="1841" spans="1:8" ht="17.2" customHeight="1" x14ac:dyDescent="0.3">
      <c r="A1841" s="59"/>
      <c r="D1841" s="82" t="s">
        <v>60</v>
      </c>
      <c r="E1841" s="83"/>
      <c r="F1841" s="83"/>
      <c r="G1841" s="83"/>
      <c r="H1841" s="72">
        <f>ROUND(SUM(H1818:H1840),2)</f>
        <v>53550</v>
      </c>
    </row>
    <row r="1842" spans="1:8" ht="17.2" customHeight="1" x14ac:dyDescent="0.3">
      <c r="A1842" s="59"/>
      <c r="E1842" s="71"/>
      <c r="F1842" s="71"/>
      <c r="G1842" s="71"/>
      <c r="H1842" s="73"/>
    </row>
    <row r="1843" spans="1:8" ht="17.2" customHeight="1" x14ac:dyDescent="0.3">
      <c r="A1843" s="61" t="s">
        <v>61</v>
      </c>
      <c r="B1843" s="525" t="s">
        <v>62</v>
      </c>
      <c r="C1843" s="526"/>
      <c r="D1843" s="526"/>
      <c r="E1843" s="526"/>
      <c r="F1843" s="526"/>
      <c r="G1843" s="527"/>
      <c r="H1843" s="73"/>
    </row>
    <row r="1844" spans="1:8" ht="17.2" customHeight="1" x14ac:dyDescent="0.3">
      <c r="A1844" s="62"/>
      <c r="B1844" s="518" t="s">
        <v>34</v>
      </c>
      <c r="C1844" s="519"/>
      <c r="D1844" s="518" t="s">
        <v>63</v>
      </c>
      <c r="E1844" s="519"/>
      <c r="F1844" s="528" t="s">
        <v>64</v>
      </c>
      <c r="G1844" s="529"/>
      <c r="H1844" s="73"/>
    </row>
    <row r="1845" spans="1:8" ht="17.2" customHeight="1" x14ac:dyDescent="0.3">
      <c r="A1845" s="63"/>
      <c r="B1845" s="518" t="s">
        <v>20</v>
      </c>
      <c r="C1845" s="519"/>
      <c r="D1845" s="520">
        <v>0.28000000000000003</v>
      </c>
      <c r="E1845" s="519"/>
      <c r="F1845" s="521">
        <f>+H1841*D1845</f>
        <v>14994.000000000002</v>
      </c>
      <c r="G1845" s="522"/>
      <c r="H1845" s="73"/>
    </row>
    <row r="1846" spans="1:8" ht="17.2" customHeight="1" x14ac:dyDescent="0.3">
      <c r="A1846" s="63"/>
      <c r="B1846" s="518" t="s">
        <v>21</v>
      </c>
      <c r="C1846" s="519"/>
      <c r="D1846" s="520">
        <v>0.01</v>
      </c>
      <c r="E1846" s="519"/>
      <c r="F1846" s="521">
        <f>+H1841*D1846</f>
        <v>535.5</v>
      </c>
      <c r="G1846" s="522"/>
      <c r="H1846" s="73"/>
    </row>
    <row r="1847" spans="1:8" ht="17.2" customHeight="1" x14ac:dyDescent="0.3">
      <c r="A1847" s="63"/>
      <c r="B1847" s="518" t="s">
        <v>22</v>
      </c>
      <c r="C1847" s="519"/>
      <c r="D1847" s="520">
        <v>0.03</v>
      </c>
      <c r="E1847" s="519"/>
      <c r="F1847" s="521">
        <f>+H1841*D1847</f>
        <v>1606.5</v>
      </c>
      <c r="G1847" s="522"/>
      <c r="H1847" s="73"/>
    </row>
    <row r="1848" spans="1:8" ht="17.2" customHeight="1" x14ac:dyDescent="0.3">
      <c r="A1848" s="63"/>
      <c r="B1848" s="518" t="s">
        <v>188</v>
      </c>
      <c r="C1848" s="519"/>
      <c r="D1848" s="520">
        <v>0.19</v>
      </c>
      <c r="E1848" s="519"/>
      <c r="F1848" s="521">
        <f>D1848*F1847</f>
        <v>305.23500000000001</v>
      </c>
      <c r="G1848" s="522"/>
      <c r="H1848" s="73"/>
    </row>
    <row r="1849" spans="1:8" ht="17.2" customHeight="1" x14ac:dyDescent="0.3">
      <c r="A1849" s="59"/>
      <c r="D1849" s="82" t="s">
        <v>65</v>
      </c>
      <c r="E1849" s="83"/>
      <c r="F1849" s="83"/>
      <c r="G1849" s="83"/>
      <c r="H1849" s="72">
        <f>SUM(F1845:G1848)</f>
        <v>17441.235000000001</v>
      </c>
    </row>
    <row r="1850" spans="1:8" ht="17.2" customHeight="1" x14ac:dyDescent="0.3">
      <c r="A1850" s="59"/>
      <c r="E1850" s="71"/>
      <c r="F1850" s="71"/>
      <c r="G1850" s="71"/>
      <c r="H1850" s="73"/>
    </row>
    <row r="1851" spans="1:8" ht="17.2" customHeight="1" x14ac:dyDescent="0.3">
      <c r="A1851" s="59"/>
      <c r="D1851" s="82" t="s">
        <v>66</v>
      </c>
      <c r="E1851" s="83"/>
      <c r="F1851" s="83"/>
      <c r="G1851" s="71"/>
      <c r="H1851" s="72">
        <f>H1841+H1849</f>
        <v>70991.235000000001</v>
      </c>
    </row>
    <row r="1852" spans="1:8" ht="17.2" customHeight="1" x14ac:dyDescent="0.3">
      <c r="A1852" s="59"/>
      <c r="D1852" s="82"/>
      <c r="E1852" s="83"/>
      <c r="F1852" s="83"/>
      <c r="G1852" s="71"/>
      <c r="H1852" s="73"/>
    </row>
    <row r="1853" spans="1:8" ht="17.2" customHeight="1" x14ac:dyDescent="0.3">
      <c r="A1853" s="59"/>
      <c r="E1853" s="83"/>
      <c r="F1853" s="83"/>
      <c r="G1853" s="71"/>
      <c r="H1853" s="73"/>
    </row>
    <row r="1854" spans="1:8" ht="17.2" customHeight="1" x14ac:dyDescent="0.3">
      <c r="A1854" s="84"/>
      <c r="B1854" s="85"/>
      <c r="E1854" s="46"/>
      <c r="F1854" s="47"/>
      <c r="G1854" s="48"/>
      <c r="H1854" s="73"/>
    </row>
    <row r="1855" spans="1:8" ht="17.2" customHeight="1" x14ac:dyDescent="0.3">
      <c r="A1855" s="86" t="s">
        <v>67</v>
      </c>
      <c r="B1855" s="50" t="s">
        <v>68</v>
      </c>
      <c r="E1855" s="49" t="s">
        <v>27</v>
      </c>
      <c r="F1855" s="50"/>
      <c r="G1855" s="50"/>
      <c r="H1855" s="87"/>
    </row>
    <row r="1856" spans="1:8" ht="17.2" customHeight="1" x14ac:dyDescent="0.3">
      <c r="A1856" s="88" t="s">
        <v>28</v>
      </c>
      <c r="B1856" s="50"/>
      <c r="E1856" s="50" t="str">
        <f ca="1">+$E$52</f>
        <v>SECRETARIO DE PLANEACION Y OBRAS PUBLICAS</v>
      </c>
      <c r="F1856" s="50"/>
      <c r="G1856" s="50"/>
      <c r="H1856" s="87"/>
    </row>
    <row r="1857" spans="1:8" ht="17.2" customHeight="1" x14ac:dyDescent="0.3">
      <c r="A1857" s="88"/>
      <c r="B1857" s="50"/>
      <c r="E1857" s="90" t="str">
        <f ca="1">+$E$53</f>
        <v>SAN MIGUEL - PUTUMAYO</v>
      </c>
      <c r="F1857" s="50"/>
      <c r="G1857" s="50"/>
      <c r="H1857" s="87"/>
    </row>
    <row r="1858" spans="1:8" ht="17.2" customHeight="1" x14ac:dyDescent="0.3">
      <c r="A1858" s="556"/>
      <c r="B1858" s="557"/>
      <c r="C1858" s="380" t="s">
        <v>2</v>
      </c>
      <c r="D1858" s="382" t="s">
        <v>3</v>
      </c>
      <c r="E1858" s="383"/>
      <c r="F1858" s="1">
        <v>103</v>
      </c>
      <c r="G1858" s="548"/>
      <c r="H1858" s="549"/>
    </row>
    <row r="1859" spans="1:8" ht="17.2" customHeight="1" x14ac:dyDescent="0.3">
      <c r="A1859" s="558"/>
      <c r="B1859" s="559"/>
      <c r="C1859" s="381"/>
      <c r="D1859" s="396" t="s">
        <v>4</v>
      </c>
      <c r="E1859" s="397"/>
      <c r="F1859" s="400">
        <v>51</v>
      </c>
      <c r="G1859" s="550"/>
      <c r="H1859" s="551"/>
    </row>
    <row r="1860" spans="1:8" ht="17.2" customHeight="1" x14ac:dyDescent="0.3">
      <c r="A1860" s="558"/>
      <c r="B1860" s="559"/>
      <c r="C1860" s="5" t="s">
        <v>5</v>
      </c>
      <c r="D1860" s="398"/>
      <c r="E1860" s="399"/>
      <c r="F1860" s="401"/>
      <c r="G1860" s="550"/>
      <c r="H1860" s="551"/>
    </row>
    <row r="1861" spans="1:8" ht="26.85" customHeight="1" x14ac:dyDescent="0.3">
      <c r="A1861" s="558"/>
      <c r="B1861" s="559"/>
      <c r="C1861" s="55" t="s">
        <v>6</v>
      </c>
      <c r="D1861" s="402" t="s">
        <v>7</v>
      </c>
      <c r="E1861" s="403"/>
      <c r="F1861" s="7">
        <v>1</v>
      </c>
      <c r="G1861" s="550"/>
      <c r="H1861" s="551"/>
    </row>
    <row r="1862" spans="1:8" ht="17.2" customHeight="1" x14ac:dyDescent="0.3">
      <c r="A1862" s="558"/>
      <c r="B1862" s="559"/>
      <c r="C1862" s="530" t="s">
        <v>8</v>
      </c>
      <c r="D1862" s="532" t="s">
        <v>9</v>
      </c>
      <c r="E1862" s="533"/>
      <c r="F1862" s="5" t="s">
        <v>10</v>
      </c>
      <c r="G1862" s="550"/>
      <c r="H1862" s="551"/>
    </row>
    <row r="1863" spans="1:8" ht="17.2" customHeight="1" x14ac:dyDescent="0.3">
      <c r="A1863" s="560"/>
      <c r="B1863" s="561"/>
      <c r="C1863" s="531"/>
      <c r="D1863" s="534"/>
      <c r="E1863" s="535"/>
      <c r="F1863" s="8">
        <f>$F$6</f>
        <v>45402</v>
      </c>
      <c r="G1863" s="552"/>
      <c r="H1863" s="553"/>
    </row>
    <row r="1864" spans="1:8" ht="17.2" customHeight="1" thickBot="1" x14ac:dyDescent="0.35">
      <c r="A1864" s="536"/>
      <c r="B1864" s="537"/>
      <c r="C1864" s="537"/>
      <c r="D1864" s="537"/>
      <c r="E1864" s="537"/>
      <c r="F1864" s="537"/>
      <c r="G1864" s="537"/>
      <c r="H1864" s="538"/>
    </row>
    <row r="1865" spans="1:8" ht="28.15" customHeight="1" thickBot="1" x14ac:dyDescent="0.35">
      <c r="A1865" s="92">
        <v>5.2</v>
      </c>
      <c r="B1865" s="539" t="str">
        <f>VLOOKUP(A1865,PRESUPUESTO!$A$14:$G$71,2,)</f>
        <v>Suministro e instalacion de tejas arquitectonica de Cal 28</v>
      </c>
      <c r="C1865" s="540"/>
      <c r="D1865" s="540"/>
      <c r="E1865" s="540"/>
      <c r="F1865" s="541"/>
      <c r="G1865" s="57" t="s">
        <v>31</v>
      </c>
      <c r="H1865" s="58" t="str">
        <f>VLOOKUP(A1865,PRESUPUESTO!$A$14:$G$71,4,)</f>
        <v>M2</v>
      </c>
    </row>
    <row r="1866" spans="1:8" ht="17.2" customHeight="1" x14ac:dyDescent="0.3">
      <c r="A1866" s="59"/>
      <c r="H1866" s="60"/>
    </row>
    <row r="1867" spans="1:8" ht="17.2" customHeight="1" x14ac:dyDescent="0.3">
      <c r="A1867" s="61" t="s">
        <v>32</v>
      </c>
      <c r="B1867" s="525" t="s">
        <v>33</v>
      </c>
      <c r="C1867" s="526"/>
      <c r="D1867" s="526"/>
      <c r="E1867" s="526"/>
      <c r="F1867" s="526"/>
      <c r="G1867" s="527"/>
      <c r="H1867" s="60"/>
    </row>
    <row r="1868" spans="1:8" ht="17.2" customHeight="1" x14ac:dyDescent="0.3">
      <c r="A1868" s="62"/>
      <c r="B1868" s="518" t="s">
        <v>34</v>
      </c>
      <c r="C1868" s="519"/>
      <c r="D1868" s="62" t="s">
        <v>35</v>
      </c>
      <c r="E1868" s="62" t="s">
        <v>69</v>
      </c>
      <c r="F1868" s="62" t="s">
        <v>70</v>
      </c>
      <c r="G1868" s="62" t="s">
        <v>38</v>
      </c>
      <c r="H1868" s="60"/>
    </row>
    <row r="1869" spans="1:8" ht="17.2" customHeight="1" x14ac:dyDescent="0.3">
      <c r="A1869" s="63"/>
      <c r="B1869" s="542" t="s">
        <v>39</v>
      </c>
      <c r="C1869" s="543"/>
      <c r="D1869" s="63"/>
      <c r="E1869" s="64"/>
      <c r="F1869" s="64">
        <v>0.1</v>
      </c>
      <c r="G1869" s="65">
        <f>ROUND(H1886*F1869,2)</f>
        <v>2938.08</v>
      </c>
      <c r="H1869" s="66"/>
    </row>
    <row r="1870" spans="1:8" ht="17.2" customHeight="1" x14ac:dyDescent="0.3">
      <c r="A1870" s="63"/>
      <c r="B1870" s="542" t="s">
        <v>223</v>
      </c>
      <c r="C1870" s="543"/>
      <c r="D1870" s="62"/>
      <c r="E1870" s="68"/>
      <c r="F1870" s="64"/>
      <c r="G1870" s="69"/>
      <c r="H1870" s="66"/>
    </row>
    <row r="1871" spans="1:8" ht="17.2" customHeight="1" x14ac:dyDescent="0.3">
      <c r="A1871" s="70"/>
      <c r="E1871" s="71" t="s">
        <v>40</v>
      </c>
      <c r="F1871" s="71"/>
      <c r="G1871" s="71"/>
      <c r="H1871" s="72">
        <f>ROUND(SUM(G1869:G1870),2)</f>
        <v>2938.08</v>
      </c>
    </row>
    <row r="1872" spans="1:8" ht="17.2" customHeight="1" x14ac:dyDescent="0.3">
      <c r="A1872" s="61" t="s">
        <v>41</v>
      </c>
      <c r="B1872" s="525" t="s">
        <v>42</v>
      </c>
      <c r="C1872" s="526"/>
      <c r="D1872" s="526"/>
      <c r="E1872" s="526"/>
      <c r="F1872" s="526"/>
      <c r="G1872" s="527"/>
      <c r="H1872" s="73"/>
    </row>
    <row r="1873" spans="1:8" ht="17.2" customHeight="1" x14ac:dyDescent="0.3">
      <c r="A1873" s="62"/>
      <c r="B1873" s="518" t="s">
        <v>34</v>
      </c>
      <c r="C1873" s="519"/>
      <c r="D1873" s="62" t="s">
        <v>43</v>
      </c>
      <c r="E1873" s="74" t="s">
        <v>44</v>
      </c>
      <c r="F1873" s="74" t="s">
        <v>45</v>
      </c>
      <c r="G1873" s="74" t="s">
        <v>38</v>
      </c>
      <c r="H1873" s="73"/>
    </row>
    <row r="1874" spans="1:8" ht="15.05" x14ac:dyDescent="0.3">
      <c r="A1874" s="63"/>
      <c r="B1874" s="544" t="s">
        <v>263</v>
      </c>
      <c r="C1874" s="545"/>
      <c r="D1874" s="270" t="s">
        <v>178</v>
      </c>
      <c r="E1874" s="94">
        <v>1.03</v>
      </c>
      <c r="F1874" s="95">
        <v>34500</v>
      </c>
      <c r="G1874" s="120">
        <f>ROUND(E1874*F1874,2)</f>
        <v>35535</v>
      </c>
      <c r="H1874" s="73"/>
    </row>
    <row r="1875" spans="1:8" ht="17.2" customHeight="1" x14ac:dyDescent="0.3">
      <c r="A1875" s="63"/>
      <c r="B1875" s="546" t="s">
        <v>224</v>
      </c>
      <c r="C1875" s="547"/>
      <c r="D1875" s="270" t="s">
        <v>218</v>
      </c>
      <c r="E1875" s="94">
        <v>0.3</v>
      </c>
      <c r="F1875" s="95">
        <v>600</v>
      </c>
      <c r="G1875" s="67">
        <f t="shared" ref="G1875" si="22">ROUND(E1875*F1875,2)</f>
        <v>180</v>
      </c>
      <c r="H1875" s="73"/>
    </row>
    <row r="1876" spans="1:8" ht="17.2" customHeight="1" x14ac:dyDescent="0.3">
      <c r="A1876" s="63"/>
      <c r="B1876" s="546"/>
      <c r="C1876" s="547"/>
      <c r="D1876" s="270"/>
      <c r="E1876" s="94"/>
      <c r="F1876" s="95"/>
      <c r="G1876" s="67"/>
      <c r="H1876" s="73"/>
    </row>
    <row r="1877" spans="1:8" ht="17.2" customHeight="1" x14ac:dyDescent="0.3">
      <c r="A1877" s="63"/>
      <c r="B1877" s="523"/>
      <c r="C1877" s="524"/>
      <c r="D1877" s="93"/>
      <c r="E1877" s="94"/>
      <c r="F1877" s="95"/>
      <c r="G1877" s="67"/>
      <c r="H1877" s="73"/>
    </row>
    <row r="1878" spans="1:8" ht="17.2" customHeight="1" x14ac:dyDescent="0.3">
      <c r="A1878" s="63"/>
      <c r="B1878" s="523"/>
      <c r="C1878" s="524"/>
      <c r="D1878" s="93"/>
      <c r="E1878" s="94"/>
      <c r="F1878" s="95"/>
      <c r="G1878" s="67"/>
      <c r="H1878" s="73"/>
    </row>
    <row r="1879" spans="1:8" ht="17.2" customHeight="1" x14ac:dyDescent="0.3">
      <c r="A1879" s="63"/>
      <c r="B1879" s="523"/>
      <c r="C1879" s="524"/>
      <c r="D1879" s="93"/>
      <c r="E1879" s="94"/>
      <c r="F1879" s="95"/>
      <c r="G1879" s="67"/>
      <c r="H1879" s="73"/>
    </row>
    <row r="1880" spans="1:8" ht="17.2" customHeight="1" x14ac:dyDescent="0.3">
      <c r="A1880" s="70" t="s">
        <v>46</v>
      </c>
      <c r="E1880" s="71" t="s">
        <v>47</v>
      </c>
      <c r="F1880" s="71"/>
      <c r="G1880" s="71"/>
      <c r="H1880" s="76">
        <f>ROUND(SUM(G1874:G1879),2)</f>
        <v>35715</v>
      </c>
    </row>
    <row r="1881" spans="1:8" ht="17.2" customHeight="1" x14ac:dyDescent="0.3">
      <c r="A1881" s="61" t="s">
        <v>48</v>
      </c>
      <c r="B1881" s="525" t="s">
        <v>49</v>
      </c>
      <c r="C1881" s="526"/>
      <c r="D1881" s="526"/>
      <c r="E1881" s="526"/>
      <c r="F1881" s="526"/>
      <c r="G1881" s="527"/>
      <c r="H1881" s="73"/>
    </row>
    <row r="1882" spans="1:8" ht="17.2" customHeight="1" x14ac:dyDescent="0.3">
      <c r="A1882" s="62" t="s">
        <v>50</v>
      </c>
      <c r="B1882" s="62" t="s">
        <v>34</v>
      </c>
      <c r="C1882" s="62" t="s">
        <v>51</v>
      </c>
      <c r="D1882" s="62" t="s">
        <v>52</v>
      </c>
      <c r="E1882" s="74" t="s">
        <v>53</v>
      </c>
      <c r="F1882" s="64" t="s">
        <v>186</v>
      </c>
      <c r="G1882" s="64" t="s">
        <v>38</v>
      </c>
      <c r="H1882" s="73"/>
    </row>
    <row r="1883" spans="1:8" ht="17.2" customHeight="1" x14ac:dyDescent="0.3">
      <c r="A1883" s="62">
        <v>1</v>
      </c>
      <c r="B1883" s="63" t="s">
        <v>79</v>
      </c>
      <c r="C1883" s="77">
        <v>120000</v>
      </c>
      <c r="D1883" s="78">
        <v>0.75</v>
      </c>
      <c r="E1883" s="79">
        <f>+(A1883*C1883)+(A1883*C1883*D1883)</f>
        <v>210000</v>
      </c>
      <c r="F1883" s="75">
        <v>15</v>
      </c>
      <c r="G1883" s="65">
        <f>ROUND(E1883/(F1883),2)</f>
        <v>14000</v>
      </c>
      <c r="H1883" s="73"/>
    </row>
    <row r="1884" spans="1:8" ht="17.2" customHeight="1" x14ac:dyDescent="0.3">
      <c r="A1884" s="62">
        <v>2</v>
      </c>
      <c r="B1884" s="63" t="s">
        <v>80</v>
      </c>
      <c r="C1884" s="77">
        <v>70000</v>
      </c>
      <c r="D1884" s="78">
        <v>0.75</v>
      </c>
      <c r="E1884" s="79">
        <f>+(A1884*C1884)+(A1884*C1884*D1884)</f>
        <v>245000</v>
      </c>
      <c r="F1884" s="75">
        <v>15.929</v>
      </c>
      <c r="G1884" s="65">
        <f>ROUND(E1884/(F1884),2)</f>
        <v>15380.75</v>
      </c>
      <c r="H1884" s="73"/>
    </row>
    <row r="1885" spans="1:8" ht="17.2" customHeight="1" x14ac:dyDescent="0.3">
      <c r="A1885" s="63"/>
      <c r="B1885" s="63"/>
      <c r="C1885" s="63"/>
      <c r="D1885" s="63"/>
      <c r="E1885" s="64"/>
      <c r="F1885" s="64"/>
      <c r="G1885" s="64"/>
      <c r="H1885" s="73"/>
    </row>
    <row r="1886" spans="1:8" ht="17.2" customHeight="1" x14ac:dyDescent="0.3">
      <c r="A1886" s="70"/>
      <c r="E1886" s="71" t="s">
        <v>54</v>
      </c>
      <c r="F1886" s="71"/>
      <c r="G1886" s="71"/>
      <c r="H1886" s="72">
        <f>ROUND(SUM(G1883)+(G1884),2)</f>
        <v>29380.75</v>
      </c>
    </row>
    <row r="1887" spans="1:8" ht="17.2" customHeight="1" x14ac:dyDescent="0.3">
      <c r="A1887" s="61" t="s">
        <v>55</v>
      </c>
      <c r="B1887" s="525" t="s">
        <v>56</v>
      </c>
      <c r="C1887" s="526"/>
      <c r="D1887" s="526"/>
      <c r="E1887" s="526"/>
      <c r="F1887" s="526"/>
      <c r="G1887" s="527"/>
      <c r="H1887" s="73"/>
    </row>
    <row r="1888" spans="1:8" ht="17.2" customHeight="1" x14ac:dyDescent="0.3">
      <c r="A1888" s="63"/>
      <c r="B1888" s="63" t="s">
        <v>34</v>
      </c>
      <c r="C1888" s="62" t="s">
        <v>43</v>
      </c>
      <c r="D1888" s="62" t="s">
        <v>57</v>
      </c>
      <c r="E1888" s="62" t="s">
        <v>58</v>
      </c>
      <c r="F1888" s="62"/>
      <c r="G1888" s="64" t="s">
        <v>59</v>
      </c>
      <c r="H1888" s="73"/>
    </row>
    <row r="1889" spans="1:8" ht="17.2" customHeight="1" x14ac:dyDescent="0.3">
      <c r="A1889" s="63"/>
      <c r="B1889" s="63" t="s">
        <v>82</v>
      </c>
      <c r="C1889" s="80" t="s">
        <v>83</v>
      </c>
      <c r="D1889" s="63">
        <v>5.0000000000000001E-3</v>
      </c>
      <c r="E1889" s="64">
        <f>3000000/15</f>
        <v>200000</v>
      </c>
      <c r="F1889" s="64"/>
      <c r="G1889" s="64">
        <f>D1889*E1889</f>
        <v>1000</v>
      </c>
      <c r="H1889" s="73"/>
    </row>
    <row r="1890" spans="1:8" ht="17.2" customHeight="1" x14ac:dyDescent="0.3">
      <c r="A1890" s="63"/>
      <c r="B1890" s="63"/>
      <c r="C1890" s="81"/>
      <c r="D1890" s="63"/>
      <c r="E1890" s="64"/>
      <c r="F1890" s="64"/>
      <c r="G1890" s="64"/>
      <c r="H1890" s="73"/>
    </row>
    <row r="1891" spans="1:8" ht="17.2" customHeight="1" x14ac:dyDescent="0.3">
      <c r="A1891" s="63"/>
      <c r="B1891" s="63"/>
      <c r="C1891" s="63"/>
      <c r="D1891" s="63"/>
      <c r="E1891" s="64"/>
      <c r="F1891" s="64"/>
      <c r="G1891" s="64"/>
      <c r="H1891" s="73"/>
    </row>
    <row r="1892" spans="1:8" ht="17.2" customHeight="1" x14ac:dyDescent="0.3">
      <c r="A1892" s="70"/>
      <c r="E1892" s="71" t="s">
        <v>54</v>
      </c>
      <c r="F1892" s="71"/>
      <c r="G1892" s="71"/>
      <c r="H1892" s="119">
        <f>ROUND(SUM(G1889)+(G1890),0)</f>
        <v>1000</v>
      </c>
    </row>
    <row r="1893" spans="1:8" ht="17.2" customHeight="1" x14ac:dyDescent="0.3">
      <c r="A1893" s="59"/>
      <c r="E1893" s="71"/>
      <c r="F1893" s="71"/>
      <c r="G1893" s="71"/>
      <c r="H1893" s="73"/>
    </row>
    <row r="1894" spans="1:8" ht="17.2" customHeight="1" x14ac:dyDescent="0.3">
      <c r="A1894" s="59"/>
      <c r="D1894" s="82" t="s">
        <v>60</v>
      </c>
      <c r="E1894" s="83"/>
      <c r="F1894" s="83"/>
      <c r="G1894" s="83"/>
      <c r="H1894" s="72">
        <f>ROUND(SUM(H1871:H1893),2)</f>
        <v>69033.83</v>
      </c>
    </row>
    <row r="1895" spans="1:8" ht="17.2" customHeight="1" x14ac:dyDescent="0.3">
      <c r="A1895" s="59"/>
      <c r="E1895" s="71"/>
      <c r="F1895" s="71"/>
      <c r="G1895" s="71"/>
      <c r="H1895" s="73"/>
    </row>
    <row r="1896" spans="1:8" ht="17.2" customHeight="1" x14ac:dyDescent="0.3">
      <c r="A1896" s="61" t="s">
        <v>61</v>
      </c>
      <c r="B1896" s="525" t="s">
        <v>62</v>
      </c>
      <c r="C1896" s="526"/>
      <c r="D1896" s="526"/>
      <c r="E1896" s="526"/>
      <c r="F1896" s="526"/>
      <c r="G1896" s="527"/>
      <c r="H1896" s="73"/>
    </row>
    <row r="1897" spans="1:8" ht="17.2" customHeight="1" x14ac:dyDescent="0.3">
      <c r="A1897" s="62"/>
      <c r="B1897" s="518" t="s">
        <v>34</v>
      </c>
      <c r="C1897" s="519"/>
      <c r="D1897" s="518" t="s">
        <v>63</v>
      </c>
      <c r="E1897" s="519"/>
      <c r="F1897" s="528" t="s">
        <v>64</v>
      </c>
      <c r="G1897" s="529"/>
      <c r="H1897" s="73"/>
    </row>
    <row r="1898" spans="1:8" ht="17.2" customHeight="1" x14ac:dyDescent="0.3">
      <c r="A1898" s="63"/>
      <c r="B1898" s="518" t="s">
        <v>20</v>
      </c>
      <c r="C1898" s="519"/>
      <c r="D1898" s="520">
        <v>0.28000000000000003</v>
      </c>
      <c r="E1898" s="519"/>
      <c r="F1898" s="521">
        <f>+H1894*D1898</f>
        <v>19329.472400000002</v>
      </c>
      <c r="G1898" s="522"/>
      <c r="H1898" s="73"/>
    </row>
    <row r="1899" spans="1:8" ht="17.2" customHeight="1" x14ac:dyDescent="0.3">
      <c r="A1899" s="63"/>
      <c r="B1899" s="518" t="s">
        <v>21</v>
      </c>
      <c r="C1899" s="519"/>
      <c r="D1899" s="520">
        <v>0.01</v>
      </c>
      <c r="E1899" s="519"/>
      <c r="F1899" s="521">
        <f>+H1894*D1899</f>
        <v>690.3383</v>
      </c>
      <c r="G1899" s="522"/>
      <c r="H1899" s="73"/>
    </row>
    <row r="1900" spans="1:8" ht="17.2" customHeight="1" x14ac:dyDescent="0.3">
      <c r="A1900" s="63"/>
      <c r="B1900" s="518" t="s">
        <v>22</v>
      </c>
      <c r="C1900" s="519"/>
      <c r="D1900" s="520">
        <v>0.03</v>
      </c>
      <c r="E1900" s="519"/>
      <c r="F1900" s="521">
        <f>+H1894*D1900</f>
        <v>2071.0149000000001</v>
      </c>
      <c r="G1900" s="522"/>
      <c r="H1900" s="73"/>
    </row>
    <row r="1901" spans="1:8" ht="17.2" customHeight="1" x14ac:dyDescent="0.3">
      <c r="A1901" s="63"/>
      <c r="B1901" s="518" t="s">
        <v>188</v>
      </c>
      <c r="C1901" s="519"/>
      <c r="D1901" s="520">
        <v>0.19</v>
      </c>
      <c r="E1901" s="519"/>
      <c r="F1901" s="521">
        <f>D1901*F1900</f>
        <v>393.49283100000002</v>
      </c>
      <c r="G1901" s="522"/>
      <c r="H1901" s="73"/>
    </row>
    <row r="1902" spans="1:8" ht="17.2" customHeight="1" x14ac:dyDescent="0.3">
      <c r="A1902" s="59"/>
      <c r="D1902" s="82" t="s">
        <v>65</v>
      </c>
      <c r="E1902" s="83"/>
      <c r="F1902" s="83"/>
      <c r="G1902" s="83"/>
      <c r="H1902" s="72">
        <f>SUM(F1898:G1901)</f>
        <v>22484.318431000003</v>
      </c>
    </row>
    <row r="1903" spans="1:8" ht="17.2" customHeight="1" x14ac:dyDescent="0.3">
      <c r="A1903" s="59"/>
      <c r="E1903" s="71"/>
      <c r="F1903" s="71"/>
      <c r="G1903" s="71"/>
      <c r="H1903" s="73"/>
    </row>
    <row r="1904" spans="1:8" ht="17.2" customHeight="1" x14ac:dyDescent="0.3">
      <c r="A1904" s="59"/>
      <c r="D1904" s="82" t="s">
        <v>66</v>
      </c>
      <c r="E1904" s="83"/>
      <c r="F1904" s="83"/>
      <c r="G1904" s="71"/>
      <c r="H1904" s="72">
        <f>H1894+H1902</f>
        <v>91518.148431000009</v>
      </c>
    </row>
    <row r="1905" spans="1:8" ht="17.2" customHeight="1" x14ac:dyDescent="0.3">
      <c r="A1905" s="59"/>
      <c r="D1905" s="82"/>
      <c r="E1905" s="83"/>
      <c r="F1905" s="83"/>
      <c r="G1905" s="71"/>
      <c r="H1905" s="73"/>
    </row>
    <row r="1906" spans="1:8" ht="17.2" customHeight="1" x14ac:dyDescent="0.3">
      <c r="A1906" s="59"/>
      <c r="E1906" s="83"/>
      <c r="F1906" s="83"/>
      <c r="G1906" s="71"/>
      <c r="H1906" s="73"/>
    </row>
    <row r="1907" spans="1:8" ht="17.2" customHeight="1" x14ac:dyDescent="0.3">
      <c r="A1907" s="84"/>
      <c r="B1907" s="85"/>
      <c r="E1907" s="46"/>
      <c r="F1907" s="47"/>
      <c r="G1907" s="48"/>
      <c r="H1907" s="73"/>
    </row>
    <row r="1908" spans="1:8" ht="17.2" customHeight="1" x14ac:dyDescent="0.3">
      <c r="A1908" s="86" t="s">
        <v>67</v>
      </c>
      <c r="B1908" s="50" t="s">
        <v>68</v>
      </c>
      <c r="E1908" s="49" t="s">
        <v>27</v>
      </c>
      <c r="F1908" s="50"/>
      <c r="G1908" s="50"/>
      <c r="H1908" s="87"/>
    </row>
    <row r="1909" spans="1:8" ht="17.2" customHeight="1" x14ac:dyDescent="0.3">
      <c r="A1909" s="88" t="s">
        <v>28</v>
      </c>
      <c r="B1909" s="50"/>
      <c r="E1909" s="50" t="str">
        <f ca="1">+$E$52</f>
        <v>SECRETARIO DE PLANEACION Y OBRAS PUBLICAS</v>
      </c>
      <c r="F1909" s="50"/>
      <c r="G1909" s="50"/>
      <c r="H1909" s="87"/>
    </row>
    <row r="1910" spans="1:8" ht="18.2" customHeight="1" x14ac:dyDescent="0.3">
      <c r="A1910" s="89"/>
      <c r="B1910" s="90"/>
      <c r="C1910" s="85"/>
      <c r="D1910" s="85"/>
      <c r="E1910" s="90" t="str">
        <f ca="1">+$E$53</f>
        <v>SAN MIGUEL - PUTUMAYO</v>
      </c>
      <c r="F1910" s="90"/>
      <c r="G1910" s="90"/>
      <c r="H1910" s="91"/>
    </row>
    <row r="1911" spans="1:8" ht="17.2" customHeight="1" x14ac:dyDescent="0.3">
      <c r="A1911" s="556"/>
      <c r="B1911" s="557"/>
      <c r="C1911" s="380" t="s">
        <v>2</v>
      </c>
      <c r="D1911" s="382" t="s">
        <v>3</v>
      </c>
      <c r="E1911" s="383"/>
      <c r="F1911" s="1">
        <v>103</v>
      </c>
      <c r="G1911" s="548"/>
      <c r="H1911" s="549"/>
    </row>
    <row r="1912" spans="1:8" ht="17.2" customHeight="1" x14ac:dyDescent="0.3">
      <c r="A1912" s="558"/>
      <c r="B1912" s="559"/>
      <c r="C1912" s="381"/>
      <c r="D1912" s="396" t="s">
        <v>4</v>
      </c>
      <c r="E1912" s="397"/>
      <c r="F1912" s="400">
        <v>51</v>
      </c>
      <c r="G1912" s="550"/>
      <c r="H1912" s="551"/>
    </row>
    <row r="1913" spans="1:8" ht="17.2" customHeight="1" x14ac:dyDescent="0.3">
      <c r="A1913" s="558"/>
      <c r="B1913" s="559"/>
      <c r="C1913" s="5" t="s">
        <v>5</v>
      </c>
      <c r="D1913" s="398"/>
      <c r="E1913" s="399"/>
      <c r="F1913" s="401"/>
      <c r="G1913" s="550"/>
      <c r="H1913" s="551"/>
    </row>
    <row r="1914" spans="1:8" ht="26.85" customHeight="1" x14ac:dyDescent="0.3">
      <c r="A1914" s="558"/>
      <c r="B1914" s="559"/>
      <c r="C1914" s="55" t="s">
        <v>6</v>
      </c>
      <c r="D1914" s="402" t="s">
        <v>7</v>
      </c>
      <c r="E1914" s="403"/>
      <c r="F1914" s="7">
        <v>1</v>
      </c>
      <c r="G1914" s="550"/>
      <c r="H1914" s="551"/>
    </row>
    <row r="1915" spans="1:8" ht="17.2" customHeight="1" x14ac:dyDescent="0.3">
      <c r="A1915" s="558"/>
      <c r="B1915" s="559"/>
      <c r="C1915" s="530" t="s">
        <v>8</v>
      </c>
      <c r="D1915" s="532" t="s">
        <v>9</v>
      </c>
      <c r="E1915" s="533"/>
      <c r="F1915" s="5" t="s">
        <v>10</v>
      </c>
      <c r="G1915" s="550"/>
      <c r="H1915" s="551"/>
    </row>
    <row r="1916" spans="1:8" ht="17.2" customHeight="1" x14ac:dyDescent="0.3">
      <c r="A1916" s="560"/>
      <c r="B1916" s="561"/>
      <c r="C1916" s="531"/>
      <c r="D1916" s="534"/>
      <c r="E1916" s="535"/>
      <c r="F1916" s="8">
        <f>$F$6</f>
        <v>45402</v>
      </c>
      <c r="G1916" s="552"/>
      <c r="H1916" s="553"/>
    </row>
    <row r="1917" spans="1:8" ht="17.2" customHeight="1" thickBot="1" x14ac:dyDescent="0.35">
      <c r="A1917" s="536"/>
      <c r="B1917" s="537"/>
      <c r="C1917" s="537"/>
      <c r="D1917" s="537"/>
      <c r="E1917" s="537"/>
      <c r="F1917" s="537"/>
      <c r="G1917" s="537"/>
      <c r="H1917" s="538"/>
    </row>
    <row r="1918" spans="1:8" ht="28.15" customHeight="1" thickBot="1" x14ac:dyDescent="0.35">
      <c r="A1918" s="92">
        <v>5.3</v>
      </c>
      <c r="B1918" s="539" t="str">
        <f>VLOOKUP(A1918,PRESUPUESTO!$A$14:$G$71,2,)</f>
        <v>Suministro e instalacion de caballete arquitectonico de Cal 28</v>
      </c>
      <c r="C1918" s="540"/>
      <c r="D1918" s="540"/>
      <c r="E1918" s="540"/>
      <c r="F1918" s="541"/>
      <c r="G1918" s="57" t="s">
        <v>31</v>
      </c>
      <c r="H1918" s="58" t="str">
        <f>VLOOKUP(A1918,PRESUPUESTO!$A$14:$G$71,4,)</f>
        <v>ML</v>
      </c>
    </row>
    <row r="1919" spans="1:8" ht="17.2" customHeight="1" x14ac:dyDescent="0.3">
      <c r="A1919" s="59"/>
      <c r="H1919" s="60"/>
    </row>
    <row r="1920" spans="1:8" ht="17.2" customHeight="1" x14ac:dyDescent="0.3">
      <c r="A1920" s="61" t="s">
        <v>32</v>
      </c>
      <c r="B1920" s="525" t="s">
        <v>33</v>
      </c>
      <c r="C1920" s="526"/>
      <c r="D1920" s="526"/>
      <c r="E1920" s="526"/>
      <c r="F1920" s="526"/>
      <c r="G1920" s="527"/>
      <c r="H1920" s="60"/>
    </row>
    <row r="1921" spans="1:8" ht="17.2" customHeight="1" x14ac:dyDescent="0.3">
      <c r="A1921" s="62"/>
      <c r="B1921" s="518" t="s">
        <v>34</v>
      </c>
      <c r="C1921" s="519"/>
      <c r="D1921" s="62" t="s">
        <v>35</v>
      </c>
      <c r="E1921" s="62" t="s">
        <v>69</v>
      </c>
      <c r="F1921" s="62" t="s">
        <v>70</v>
      </c>
      <c r="G1921" s="62" t="s">
        <v>38</v>
      </c>
      <c r="H1921" s="60"/>
    </row>
    <row r="1922" spans="1:8" ht="17.2" customHeight="1" x14ac:dyDescent="0.3">
      <c r="A1922" s="63"/>
      <c r="B1922" s="542" t="s">
        <v>465</v>
      </c>
      <c r="C1922" s="543"/>
      <c r="D1922" s="63"/>
      <c r="E1922" s="64"/>
      <c r="F1922" s="64">
        <v>0.1</v>
      </c>
      <c r="G1922" s="65">
        <f>ROUND(H1939*F1922,2)</f>
        <v>1011.11</v>
      </c>
      <c r="H1922" s="66"/>
    </row>
    <row r="1923" spans="1:8" ht="17.2" customHeight="1" x14ac:dyDescent="0.3">
      <c r="A1923" s="63"/>
      <c r="B1923" s="542" t="s">
        <v>223</v>
      </c>
      <c r="C1923" s="543"/>
      <c r="D1923" s="62"/>
      <c r="E1923" s="68"/>
      <c r="F1923" s="64"/>
      <c r="G1923" s="69"/>
      <c r="H1923" s="66"/>
    </row>
    <row r="1924" spans="1:8" ht="17.2" customHeight="1" x14ac:dyDescent="0.3">
      <c r="A1924" s="70"/>
      <c r="E1924" s="71" t="s">
        <v>40</v>
      </c>
      <c r="F1924" s="71"/>
      <c r="G1924" s="71"/>
      <c r="H1924" s="72">
        <f>ROUND(SUM(G1922:G1923),2)</f>
        <v>1011.11</v>
      </c>
    </row>
    <row r="1925" spans="1:8" ht="17.2" customHeight="1" x14ac:dyDescent="0.3">
      <c r="A1925" s="61" t="s">
        <v>41</v>
      </c>
      <c r="B1925" s="525" t="s">
        <v>42</v>
      </c>
      <c r="C1925" s="526"/>
      <c r="D1925" s="526"/>
      <c r="E1925" s="526"/>
      <c r="F1925" s="526"/>
      <c r="G1925" s="527"/>
      <c r="H1925" s="73"/>
    </row>
    <row r="1926" spans="1:8" ht="17.2" customHeight="1" x14ac:dyDescent="0.3">
      <c r="A1926" s="62"/>
      <c r="B1926" s="518" t="s">
        <v>34</v>
      </c>
      <c r="C1926" s="519"/>
      <c r="D1926" s="62" t="s">
        <v>43</v>
      </c>
      <c r="E1926" s="74" t="s">
        <v>44</v>
      </c>
      <c r="F1926" s="74" t="s">
        <v>45</v>
      </c>
      <c r="G1926" s="74" t="s">
        <v>38</v>
      </c>
      <c r="H1926" s="73"/>
    </row>
    <row r="1927" spans="1:8" ht="15.05" x14ac:dyDescent="0.3">
      <c r="A1927" s="63"/>
      <c r="B1927" s="544" t="s">
        <v>621</v>
      </c>
      <c r="C1927" s="545"/>
      <c r="D1927" s="270" t="s">
        <v>233</v>
      </c>
      <c r="E1927" s="94">
        <v>1.03</v>
      </c>
      <c r="F1927" s="95">
        <v>23000</v>
      </c>
      <c r="G1927" s="120">
        <f>ROUND(E1927*F1927,2)</f>
        <v>23690</v>
      </c>
      <c r="H1927" s="73"/>
    </row>
    <row r="1928" spans="1:8" ht="17.2" customHeight="1" x14ac:dyDescent="0.3">
      <c r="A1928" s="63"/>
      <c r="B1928" s="546" t="s">
        <v>224</v>
      </c>
      <c r="C1928" s="547"/>
      <c r="D1928" s="270" t="s">
        <v>218</v>
      </c>
      <c r="E1928" s="94">
        <v>0.3</v>
      </c>
      <c r="F1928" s="95">
        <v>600</v>
      </c>
      <c r="G1928" s="67">
        <f t="shared" ref="G1928" si="23">ROUND(E1928*F1928,2)</f>
        <v>180</v>
      </c>
      <c r="H1928" s="73"/>
    </row>
    <row r="1929" spans="1:8" ht="17.2" customHeight="1" x14ac:dyDescent="0.3">
      <c r="A1929" s="63"/>
      <c r="B1929" s="546"/>
      <c r="C1929" s="547"/>
      <c r="D1929" s="270"/>
      <c r="E1929" s="94"/>
      <c r="F1929" s="95"/>
      <c r="G1929" s="67"/>
      <c r="H1929" s="73"/>
    </row>
    <row r="1930" spans="1:8" ht="17.2" customHeight="1" x14ac:dyDescent="0.3">
      <c r="A1930" s="63"/>
      <c r="B1930" s="523"/>
      <c r="C1930" s="524"/>
      <c r="D1930" s="93"/>
      <c r="E1930" s="94"/>
      <c r="F1930" s="95"/>
      <c r="G1930" s="67"/>
      <c r="H1930" s="73"/>
    </row>
    <row r="1931" spans="1:8" ht="17.2" customHeight="1" x14ac:dyDescent="0.3">
      <c r="A1931" s="63"/>
      <c r="B1931" s="523"/>
      <c r="C1931" s="524"/>
      <c r="D1931" s="93"/>
      <c r="E1931" s="94"/>
      <c r="F1931" s="95"/>
      <c r="G1931" s="67"/>
      <c r="H1931" s="73"/>
    </row>
    <row r="1932" spans="1:8" ht="17.2" customHeight="1" x14ac:dyDescent="0.3">
      <c r="A1932" s="63"/>
      <c r="B1932" s="523"/>
      <c r="C1932" s="524"/>
      <c r="D1932" s="93"/>
      <c r="E1932" s="94"/>
      <c r="F1932" s="95"/>
      <c r="G1932" s="67"/>
      <c r="H1932" s="73"/>
    </row>
    <row r="1933" spans="1:8" ht="17.2" customHeight="1" x14ac:dyDescent="0.3">
      <c r="A1933" s="70" t="s">
        <v>46</v>
      </c>
      <c r="E1933" s="71" t="s">
        <v>47</v>
      </c>
      <c r="F1933" s="71"/>
      <c r="G1933" s="71"/>
      <c r="H1933" s="76">
        <f>ROUND(SUM(G1927:G1932),2)</f>
        <v>23870</v>
      </c>
    </row>
    <row r="1934" spans="1:8" ht="17.2" customHeight="1" x14ac:dyDescent="0.3">
      <c r="A1934" s="61" t="s">
        <v>48</v>
      </c>
      <c r="B1934" s="525" t="s">
        <v>49</v>
      </c>
      <c r="C1934" s="526"/>
      <c r="D1934" s="526"/>
      <c r="E1934" s="526"/>
      <c r="F1934" s="526"/>
      <c r="G1934" s="527"/>
      <c r="H1934" s="73"/>
    </row>
    <row r="1935" spans="1:8" ht="17.2" customHeight="1" x14ac:dyDescent="0.3">
      <c r="A1935" s="62" t="s">
        <v>50</v>
      </c>
      <c r="B1935" s="62" t="s">
        <v>34</v>
      </c>
      <c r="C1935" s="62" t="s">
        <v>51</v>
      </c>
      <c r="D1935" s="62" t="s">
        <v>52</v>
      </c>
      <c r="E1935" s="74" t="s">
        <v>53</v>
      </c>
      <c r="F1935" s="64" t="s">
        <v>238</v>
      </c>
      <c r="G1935" s="64" t="s">
        <v>38</v>
      </c>
      <c r="H1935" s="73"/>
    </row>
    <row r="1936" spans="1:8" ht="17.2" customHeight="1" x14ac:dyDescent="0.3">
      <c r="A1936" s="62">
        <v>1</v>
      </c>
      <c r="B1936" s="63" t="s">
        <v>79</v>
      </c>
      <c r="C1936" s="77">
        <v>120000</v>
      </c>
      <c r="D1936" s="78">
        <v>0.75</v>
      </c>
      <c r="E1936" s="79">
        <f>+(A1936*C1936)+(A1936*C1936*D1936)</f>
        <v>210000</v>
      </c>
      <c r="F1936" s="75">
        <v>45</v>
      </c>
      <c r="G1936" s="65">
        <f>ROUND(E1936/(F1936),2)</f>
        <v>4666.67</v>
      </c>
      <c r="H1936" s="73"/>
    </row>
    <row r="1937" spans="1:8" ht="17.2" customHeight="1" x14ac:dyDescent="0.3">
      <c r="A1937" s="62">
        <v>2</v>
      </c>
      <c r="B1937" s="63" t="s">
        <v>80</v>
      </c>
      <c r="C1937" s="77">
        <v>70000</v>
      </c>
      <c r="D1937" s="78">
        <v>0.75</v>
      </c>
      <c r="E1937" s="79">
        <f>+(A1937*C1937)+(A1937*C1937*D1937)</f>
        <v>245000</v>
      </c>
      <c r="F1937" s="75">
        <v>45</v>
      </c>
      <c r="G1937" s="65">
        <f>ROUND(E1937/(F1937),2)</f>
        <v>5444.44</v>
      </c>
      <c r="H1937" s="73"/>
    </row>
    <row r="1938" spans="1:8" ht="17.2" customHeight="1" x14ac:dyDescent="0.3">
      <c r="A1938" s="63"/>
      <c r="B1938" s="63"/>
      <c r="C1938" s="63"/>
      <c r="D1938" s="63"/>
      <c r="E1938" s="64"/>
      <c r="F1938" s="64"/>
      <c r="G1938" s="64"/>
      <c r="H1938" s="73"/>
    </row>
    <row r="1939" spans="1:8" ht="17.2" customHeight="1" x14ac:dyDescent="0.3">
      <c r="A1939" s="70"/>
      <c r="E1939" s="71" t="s">
        <v>54</v>
      </c>
      <c r="F1939" s="71"/>
      <c r="G1939" s="71"/>
      <c r="H1939" s="72">
        <f>ROUND(SUM(G1936)+(G1937),2)</f>
        <v>10111.11</v>
      </c>
    </row>
    <row r="1940" spans="1:8" ht="17.2" customHeight="1" x14ac:dyDescent="0.3">
      <c r="A1940" s="61" t="s">
        <v>55</v>
      </c>
      <c r="B1940" s="525" t="s">
        <v>56</v>
      </c>
      <c r="C1940" s="526"/>
      <c r="D1940" s="526"/>
      <c r="E1940" s="526"/>
      <c r="F1940" s="526"/>
      <c r="G1940" s="527"/>
      <c r="H1940" s="73"/>
    </row>
    <row r="1941" spans="1:8" ht="17.2" customHeight="1" x14ac:dyDescent="0.3">
      <c r="A1941" s="63"/>
      <c r="B1941" s="63" t="s">
        <v>34</v>
      </c>
      <c r="C1941" s="62" t="s">
        <v>43</v>
      </c>
      <c r="D1941" s="62" t="s">
        <v>57</v>
      </c>
      <c r="E1941" s="62" t="s">
        <v>58</v>
      </c>
      <c r="F1941" s="62"/>
      <c r="G1941" s="64" t="s">
        <v>59</v>
      </c>
      <c r="H1941" s="73"/>
    </row>
    <row r="1942" spans="1:8" ht="17.2" customHeight="1" x14ac:dyDescent="0.3">
      <c r="A1942" s="63"/>
      <c r="B1942" s="63" t="s">
        <v>82</v>
      </c>
      <c r="C1942" s="80" t="s">
        <v>83</v>
      </c>
      <c r="D1942" s="63">
        <v>5.0000000000000001E-3</v>
      </c>
      <c r="E1942" s="64">
        <f>3000000/15</f>
        <v>200000</v>
      </c>
      <c r="F1942" s="64"/>
      <c r="G1942" s="64">
        <f>D1942*E1942</f>
        <v>1000</v>
      </c>
      <c r="H1942" s="73"/>
    </row>
    <row r="1943" spans="1:8" ht="17.2" customHeight="1" x14ac:dyDescent="0.3">
      <c r="A1943" s="63"/>
      <c r="B1943" s="63"/>
      <c r="C1943" s="81"/>
      <c r="D1943" s="63"/>
      <c r="E1943" s="64"/>
      <c r="F1943" s="64"/>
      <c r="G1943" s="64"/>
      <c r="H1943" s="73"/>
    </row>
    <row r="1944" spans="1:8" ht="17.2" customHeight="1" x14ac:dyDescent="0.3">
      <c r="A1944" s="63"/>
      <c r="B1944" s="63"/>
      <c r="C1944" s="63"/>
      <c r="D1944" s="63"/>
      <c r="E1944" s="64"/>
      <c r="F1944" s="64"/>
      <c r="G1944" s="64"/>
      <c r="H1944" s="73"/>
    </row>
    <row r="1945" spans="1:8" ht="17.2" customHeight="1" x14ac:dyDescent="0.3">
      <c r="A1945" s="70"/>
      <c r="E1945" s="71" t="s">
        <v>54</v>
      </c>
      <c r="F1945" s="71"/>
      <c r="G1945" s="71"/>
      <c r="H1945" s="119">
        <f>ROUND(SUM(G1942)+(G1943),0)</f>
        <v>1000</v>
      </c>
    </row>
    <row r="1946" spans="1:8" ht="17.2" customHeight="1" x14ac:dyDescent="0.3">
      <c r="A1946" s="59"/>
      <c r="E1946" s="71"/>
      <c r="F1946" s="71"/>
      <c r="G1946" s="71"/>
      <c r="H1946" s="73"/>
    </row>
    <row r="1947" spans="1:8" ht="17.2" customHeight="1" x14ac:dyDescent="0.3">
      <c r="A1947" s="59"/>
      <c r="D1947" s="82" t="s">
        <v>60</v>
      </c>
      <c r="E1947" s="83"/>
      <c r="F1947" s="83"/>
      <c r="G1947" s="83"/>
      <c r="H1947" s="72">
        <f>ROUND(SUM(H1924:H1946),2)</f>
        <v>35992.22</v>
      </c>
    </row>
    <row r="1948" spans="1:8" ht="17.2" customHeight="1" x14ac:dyDescent="0.3">
      <c r="A1948" s="59"/>
      <c r="E1948" s="71"/>
      <c r="F1948" s="71"/>
      <c r="G1948" s="71"/>
      <c r="H1948" s="73"/>
    </row>
    <row r="1949" spans="1:8" ht="17.2" customHeight="1" x14ac:dyDescent="0.3">
      <c r="A1949" s="61" t="s">
        <v>61</v>
      </c>
      <c r="B1949" s="525" t="s">
        <v>62</v>
      </c>
      <c r="C1949" s="526"/>
      <c r="D1949" s="526"/>
      <c r="E1949" s="526"/>
      <c r="F1949" s="526"/>
      <c r="G1949" s="527"/>
      <c r="H1949" s="73"/>
    </row>
    <row r="1950" spans="1:8" ht="17.2" customHeight="1" x14ac:dyDescent="0.3">
      <c r="A1950" s="62"/>
      <c r="B1950" s="518" t="s">
        <v>34</v>
      </c>
      <c r="C1950" s="519"/>
      <c r="D1950" s="518" t="s">
        <v>63</v>
      </c>
      <c r="E1950" s="519"/>
      <c r="F1950" s="528" t="s">
        <v>64</v>
      </c>
      <c r="G1950" s="529"/>
      <c r="H1950" s="73"/>
    </row>
    <row r="1951" spans="1:8" ht="17.2" customHeight="1" x14ac:dyDescent="0.3">
      <c r="A1951" s="63"/>
      <c r="B1951" s="518" t="s">
        <v>20</v>
      </c>
      <c r="C1951" s="519"/>
      <c r="D1951" s="520">
        <v>0.28000000000000003</v>
      </c>
      <c r="E1951" s="519"/>
      <c r="F1951" s="521">
        <f>+H1947*D1951</f>
        <v>10077.821600000001</v>
      </c>
      <c r="G1951" s="522"/>
      <c r="H1951" s="73"/>
    </row>
    <row r="1952" spans="1:8" ht="17.2" customHeight="1" x14ac:dyDescent="0.3">
      <c r="A1952" s="63"/>
      <c r="B1952" s="518" t="s">
        <v>21</v>
      </c>
      <c r="C1952" s="519"/>
      <c r="D1952" s="520">
        <v>0.01</v>
      </c>
      <c r="E1952" s="519"/>
      <c r="F1952" s="521">
        <f>+H1947*D1952</f>
        <v>359.92220000000003</v>
      </c>
      <c r="G1952" s="522"/>
      <c r="H1952" s="73"/>
    </row>
    <row r="1953" spans="1:8" ht="17.2" customHeight="1" x14ac:dyDescent="0.3">
      <c r="A1953" s="63"/>
      <c r="B1953" s="518" t="s">
        <v>22</v>
      </c>
      <c r="C1953" s="519"/>
      <c r="D1953" s="520">
        <v>0.03</v>
      </c>
      <c r="E1953" s="519"/>
      <c r="F1953" s="521">
        <f>+H1947*D1953</f>
        <v>1079.7665999999999</v>
      </c>
      <c r="G1953" s="522"/>
      <c r="H1953" s="73"/>
    </row>
    <row r="1954" spans="1:8" ht="17.2" customHeight="1" x14ac:dyDescent="0.3">
      <c r="A1954" s="63"/>
      <c r="B1954" s="518" t="s">
        <v>188</v>
      </c>
      <c r="C1954" s="519"/>
      <c r="D1954" s="520">
        <v>0.19</v>
      </c>
      <c r="E1954" s="519"/>
      <c r="F1954" s="521">
        <f>D1954*F1953</f>
        <v>205.155654</v>
      </c>
      <c r="G1954" s="522"/>
      <c r="H1954" s="73"/>
    </row>
    <row r="1955" spans="1:8" ht="17.2" customHeight="1" x14ac:dyDescent="0.3">
      <c r="A1955" s="59"/>
      <c r="D1955" s="82" t="s">
        <v>65</v>
      </c>
      <c r="E1955" s="83"/>
      <c r="F1955" s="83"/>
      <c r="G1955" s="83"/>
      <c r="H1955" s="72">
        <f>SUM(F1951:G1954)</f>
        <v>11722.666054000003</v>
      </c>
    </row>
    <row r="1956" spans="1:8" ht="17.2" customHeight="1" x14ac:dyDescent="0.3">
      <c r="A1956" s="59"/>
      <c r="E1956" s="71"/>
      <c r="F1956" s="71"/>
      <c r="G1956" s="71"/>
      <c r="H1956" s="73"/>
    </row>
    <row r="1957" spans="1:8" ht="17.2" customHeight="1" x14ac:dyDescent="0.3">
      <c r="A1957" s="59"/>
      <c r="D1957" s="82" t="s">
        <v>66</v>
      </c>
      <c r="E1957" s="83"/>
      <c r="F1957" s="83"/>
      <c r="G1957" s="71"/>
      <c r="H1957" s="72">
        <f>H1947+H1955</f>
        <v>47714.886054000002</v>
      </c>
    </row>
    <row r="1958" spans="1:8" ht="17.2" customHeight="1" x14ac:dyDescent="0.3">
      <c r="A1958" s="59"/>
      <c r="D1958" s="82"/>
      <c r="E1958" s="83"/>
      <c r="F1958" s="83"/>
      <c r="G1958" s="71"/>
      <c r="H1958" s="73"/>
    </row>
    <row r="1959" spans="1:8" ht="17.2" customHeight="1" x14ac:dyDescent="0.3">
      <c r="A1959" s="59"/>
      <c r="E1959" s="83"/>
      <c r="F1959" s="83"/>
      <c r="G1959" s="71"/>
      <c r="H1959" s="73"/>
    </row>
    <row r="1960" spans="1:8" ht="17.2" customHeight="1" x14ac:dyDescent="0.3">
      <c r="A1960" s="84"/>
      <c r="B1960" s="85"/>
      <c r="E1960" s="46"/>
      <c r="F1960" s="47"/>
      <c r="G1960" s="48"/>
      <c r="H1960" s="73"/>
    </row>
    <row r="1961" spans="1:8" ht="17.2" customHeight="1" x14ac:dyDescent="0.3">
      <c r="A1961" s="86" t="s">
        <v>67</v>
      </c>
      <c r="B1961" s="50" t="s">
        <v>68</v>
      </c>
      <c r="E1961" s="49" t="s">
        <v>27</v>
      </c>
      <c r="F1961" s="50"/>
      <c r="G1961" s="50"/>
      <c r="H1961" s="87"/>
    </row>
    <row r="1962" spans="1:8" ht="17.2" customHeight="1" x14ac:dyDescent="0.3">
      <c r="A1962" s="88" t="s">
        <v>28</v>
      </c>
      <c r="B1962" s="50"/>
      <c r="E1962" s="50" t="str">
        <f ca="1">+$E$52</f>
        <v>SECRETARIO DE PLANEACION Y OBRAS PUBLICAS</v>
      </c>
      <c r="F1962" s="50"/>
      <c r="G1962" s="50"/>
      <c r="H1962" s="87"/>
    </row>
    <row r="1963" spans="1:8" ht="18.2" customHeight="1" x14ac:dyDescent="0.3">
      <c r="A1963" s="89"/>
      <c r="B1963" s="90"/>
      <c r="C1963" s="85"/>
      <c r="D1963" s="85"/>
      <c r="E1963" s="90" t="str">
        <f ca="1">+$E$53</f>
        <v>SAN MIGUEL - PUTUMAYO</v>
      </c>
      <c r="F1963" s="90"/>
      <c r="G1963" s="90"/>
      <c r="H1963" s="91"/>
    </row>
    <row r="1964" spans="1:8" ht="17.2" customHeight="1" x14ac:dyDescent="0.3">
      <c r="A1964" s="556"/>
      <c r="B1964" s="557"/>
      <c r="C1964" s="380" t="s">
        <v>2</v>
      </c>
      <c r="D1964" s="382" t="s">
        <v>3</v>
      </c>
      <c r="E1964" s="383"/>
      <c r="F1964" s="1">
        <v>103</v>
      </c>
      <c r="G1964" s="548"/>
      <c r="H1964" s="549"/>
    </row>
    <row r="1965" spans="1:8" ht="17.2" customHeight="1" x14ac:dyDescent="0.3">
      <c r="A1965" s="558"/>
      <c r="B1965" s="559"/>
      <c r="C1965" s="381"/>
      <c r="D1965" s="396" t="s">
        <v>4</v>
      </c>
      <c r="E1965" s="397"/>
      <c r="F1965" s="400">
        <v>51</v>
      </c>
      <c r="G1965" s="550"/>
      <c r="H1965" s="551"/>
    </row>
    <row r="1966" spans="1:8" ht="17.2" customHeight="1" x14ac:dyDescent="0.3">
      <c r="A1966" s="558"/>
      <c r="B1966" s="559"/>
      <c r="C1966" s="5" t="s">
        <v>5</v>
      </c>
      <c r="D1966" s="398"/>
      <c r="E1966" s="399"/>
      <c r="F1966" s="401"/>
      <c r="G1966" s="550"/>
      <c r="H1966" s="551"/>
    </row>
    <row r="1967" spans="1:8" ht="26.85" customHeight="1" x14ac:dyDescent="0.3">
      <c r="A1967" s="558"/>
      <c r="B1967" s="559"/>
      <c r="C1967" s="55" t="s">
        <v>6</v>
      </c>
      <c r="D1967" s="402" t="s">
        <v>7</v>
      </c>
      <c r="E1967" s="403"/>
      <c r="F1967" s="7">
        <v>1</v>
      </c>
      <c r="G1967" s="550"/>
      <c r="H1967" s="551"/>
    </row>
    <row r="1968" spans="1:8" ht="17.2" customHeight="1" x14ac:dyDescent="0.3">
      <c r="A1968" s="558"/>
      <c r="B1968" s="559"/>
      <c r="C1968" s="530" t="s">
        <v>8</v>
      </c>
      <c r="D1968" s="532" t="s">
        <v>9</v>
      </c>
      <c r="E1968" s="533"/>
      <c r="F1968" s="5" t="s">
        <v>10</v>
      </c>
      <c r="G1968" s="550"/>
      <c r="H1968" s="551"/>
    </row>
    <row r="1969" spans="1:8" ht="17.2" customHeight="1" x14ac:dyDescent="0.3">
      <c r="A1969" s="560"/>
      <c r="B1969" s="561"/>
      <c r="C1969" s="531"/>
      <c r="D1969" s="534"/>
      <c r="E1969" s="535"/>
      <c r="F1969" s="8">
        <f>$F$6</f>
        <v>45402</v>
      </c>
      <c r="G1969" s="552"/>
      <c r="H1969" s="553"/>
    </row>
    <row r="1970" spans="1:8" ht="17.2" customHeight="1" thickBot="1" x14ac:dyDescent="0.35">
      <c r="A1970" s="536"/>
      <c r="B1970" s="537"/>
      <c r="C1970" s="537"/>
      <c r="D1970" s="537"/>
      <c r="E1970" s="537"/>
      <c r="F1970" s="537"/>
      <c r="G1970" s="537"/>
      <c r="H1970" s="538"/>
    </row>
    <row r="1971" spans="1:8" ht="28.15" customHeight="1" thickBot="1" x14ac:dyDescent="0.35">
      <c r="A1971" s="92">
        <v>6.1</v>
      </c>
      <c r="B1971" s="539" t="str">
        <f>VLOOKUP(A1971,PRESUPUESTO!$A$14:$G$71,2,)</f>
        <v>Muro en mamposteria en ladrillo farol No4.</v>
      </c>
      <c r="C1971" s="540"/>
      <c r="D1971" s="540"/>
      <c r="E1971" s="540"/>
      <c r="F1971" s="541"/>
      <c r="G1971" s="57" t="s">
        <v>31</v>
      </c>
      <c r="H1971" s="58" t="str">
        <f>VLOOKUP(A1971,PRESUPUESTO!$A$14:$G$71,4,)</f>
        <v>M2</v>
      </c>
    </row>
    <row r="1972" spans="1:8" ht="17.2" customHeight="1" x14ac:dyDescent="0.3">
      <c r="A1972" s="59"/>
      <c r="H1972" s="60"/>
    </row>
    <row r="1973" spans="1:8" ht="17.2" customHeight="1" x14ac:dyDescent="0.3">
      <c r="A1973" s="61" t="s">
        <v>32</v>
      </c>
      <c r="B1973" s="525" t="s">
        <v>33</v>
      </c>
      <c r="C1973" s="526"/>
      <c r="D1973" s="526"/>
      <c r="E1973" s="526"/>
      <c r="F1973" s="526"/>
      <c r="G1973" s="527"/>
      <c r="H1973" s="60"/>
    </row>
    <row r="1974" spans="1:8" ht="17.2" customHeight="1" x14ac:dyDescent="0.3">
      <c r="A1974" s="62"/>
      <c r="B1974" s="518" t="s">
        <v>34</v>
      </c>
      <c r="C1974" s="519"/>
      <c r="D1974" s="62" t="s">
        <v>35</v>
      </c>
      <c r="E1974" s="62" t="s">
        <v>69</v>
      </c>
      <c r="F1974" s="62" t="s">
        <v>70</v>
      </c>
      <c r="G1974" s="62" t="s">
        <v>38</v>
      </c>
      <c r="H1974" s="60"/>
    </row>
    <row r="1975" spans="1:8" ht="17.2" customHeight="1" x14ac:dyDescent="0.3">
      <c r="A1975" s="63"/>
      <c r="B1975" s="542" t="s">
        <v>39</v>
      </c>
      <c r="C1975" s="543"/>
      <c r="D1975" s="63"/>
      <c r="E1975" s="64"/>
      <c r="F1975" s="64">
        <v>0.1</v>
      </c>
      <c r="G1975" s="65">
        <f>ROUND(H1992*F1975,2)</f>
        <v>1555.56</v>
      </c>
      <c r="H1975" s="66"/>
    </row>
    <row r="1976" spans="1:8" ht="17.2" customHeight="1" x14ac:dyDescent="0.3">
      <c r="A1976" s="63"/>
      <c r="B1976" s="542"/>
      <c r="C1976" s="543"/>
      <c r="D1976" s="62"/>
      <c r="E1976" s="68"/>
      <c r="F1976" s="64"/>
      <c r="G1976" s="69"/>
      <c r="H1976" s="66"/>
    </row>
    <row r="1977" spans="1:8" ht="17.2" customHeight="1" x14ac:dyDescent="0.3">
      <c r="A1977" s="70"/>
      <c r="E1977" s="71" t="s">
        <v>40</v>
      </c>
      <c r="F1977" s="71"/>
      <c r="G1977" s="71"/>
      <c r="H1977" s="72">
        <f>ROUND(SUM(G1975:G1976),2)</f>
        <v>1555.56</v>
      </c>
    </row>
    <row r="1978" spans="1:8" ht="17.2" customHeight="1" x14ac:dyDescent="0.3">
      <c r="A1978" s="61" t="s">
        <v>41</v>
      </c>
      <c r="B1978" s="525" t="s">
        <v>42</v>
      </c>
      <c r="C1978" s="526"/>
      <c r="D1978" s="526"/>
      <c r="E1978" s="526"/>
      <c r="F1978" s="526"/>
      <c r="G1978" s="527"/>
      <c r="H1978" s="73"/>
    </row>
    <row r="1979" spans="1:8" ht="17.2" customHeight="1" x14ac:dyDescent="0.3">
      <c r="A1979" s="62"/>
      <c r="B1979" s="518" t="s">
        <v>34</v>
      </c>
      <c r="C1979" s="519"/>
      <c r="D1979" s="62" t="s">
        <v>43</v>
      </c>
      <c r="E1979" s="74" t="s">
        <v>44</v>
      </c>
      <c r="F1979" s="74" t="s">
        <v>45</v>
      </c>
      <c r="G1979" s="74" t="s">
        <v>38</v>
      </c>
      <c r="H1979" s="73"/>
    </row>
    <row r="1980" spans="1:8" ht="19.149999999999999" customHeight="1" x14ac:dyDescent="0.3">
      <c r="A1980" s="63"/>
      <c r="B1980" s="544" t="s">
        <v>225</v>
      </c>
      <c r="C1980" s="545"/>
      <c r="D1980" s="270" t="s">
        <v>218</v>
      </c>
      <c r="E1980" s="94">
        <v>14</v>
      </c>
      <c r="F1980" s="95">
        <v>3100</v>
      </c>
      <c r="G1980" s="120">
        <f>ROUND(E1980*F1980,2)</f>
        <v>43400</v>
      </c>
      <c r="H1980" s="73"/>
    </row>
    <row r="1981" spans="1:8" ht="17.2" customHeight="1" x14ac:dyDescent="0.3">
      <c r="A1981" s="63"/>
      <c r="B1981" s="546" t="s">
        <v>181</v>
      </c>
      <c r="C1981" s="547"/>
      <c r="D1981" s="270" t="s">
        <v>197</v>
      </c>
      <c r="E1981" s="94">
        <f>364*0.03</f>
        <v>10.92</v>
      </c>
      <c r="F1981" s="95">
        <v>800</v>
      </c>
      <c r="G1981" s="67">
        <f t="shared" ref="G1981:G1982" si="24">ROUND(E1981*F1981,2)</f>
        <v>8736</v>
      </c>
      <c r="H1981" s="73"/>
    </row>
    <row r="1982" spans="1:8" ht="17.2" customHeight="1" x14ac:dyDescent="0.3">
      <c r="A1982" s="63"/>
      <c r="B1982" s="523" t="s">
        <v>264</v>
      </c>
      <c r="C1982" s="524"/>
      <c r="D1982" s="93" t="s">
        <v>0</v>
      </c>
      <c r="E1982" s="94">
        <f>1.16*0.03</f>
        <v>3.4799999999999998E-2</v>
      </c>
      <c r="F1982" s="95">
        <v>70000</v>
      </c>
      <c r="G1982" s="67">
        <f t="shared" si="24"/>
        <v>2436</v>
      </c>
      <c r="H1982" s="73"/>
    </row>
    <row r="1983" spans="1:8" ht="17.2" customHeight="1" x14ac:dyDescent="0.3">
      <c r="A1983" s="63"/>
      <c r="B1983" s="523" t="s">
        <v>184</v>
      </c>
      <c r="C1983" s="524"/>
      <c r="D1983" s="93" t="s">
        <v>185</v>
      </c>
      <c r="E1983" s="94">
        <f>170*0.03</f>
        <v>5.0999999999999996</v>
      </c>
      <c r="F1983" s="95">
        <v>40</v>
      </c>
      <c r="G1983" s="67">
        <f>E1983*F1983</f>
        <v>204</v>
      </c>
      <c r="H1983" s="73"/>
    </row>
    <row r="1984" spans="1:8" ht="17.2" customHeight="1" x14ac:dyDescent="0.3">
      <c r="A1984" s="63"/>
      <c r="B1984" s="523"/>
      <c r="C1984" s="524"/>
      <c r="D1984" s="93"/>
      <c r="E1984" s="94"/>
      <c r="F1984" s="95"/>
      <c r="G1984" s="67"/>
      <c r="H1984" s="73"/>
    </row>
    <row r="1985" spans="1:8" ht="17.2" customHeight="1" x14ac:dyDescent="0.3">
      <c r="A1985" s="63"/>
      <c r="B1985" s="523"/>
      <c r="C1985" s="524"/>
      <c r="D1985" s="93"/>
      <c r="E1985" s="94"/>
      <c r="F1985" s="95"/>
      <c r="G1985" s="67"/>
      <c r="H1985" s="73"/>
    </row>
    <row r="1986" spans="1:8" ht="17.2" customHeight="1" x14ac:dyDescent="0.3">
      <c r="A1986" s="70" t="s">
        <v>46</v>
      </c>
      <c r="E1986" s="71" t="s">
        <v>47</v>
      </c>
      <c r="F1986" s="71"/>
      <c r="G1986" s="71"/>
      <c r="H1986" s="76">
        <f>ROUND(SUM(G1980:G1985),2)</f>
        <v>54776</v>
      </c>
    </row>
    <row r="1987" spans="1:8" ht="17.2" customHeight="1" x14ac:dyDescent="0.3">
      <c r="A1987" s="61" t="s">
        <v>48</v>
      </c>
      <c r="B1987" s="525" t="s">
        <v>49</v>
      </c>
      <c r="C1987" s="526"/>
      <c r="D1987" s="526"/>
      <c r="E1987" s="526"/>
      <c r="F1987" s="526"/>
      <c r="G1987" s="527"/>
      <c r="H1987" s="73"/>
    </row>
    <row r="1988" spans="1:8" ht="17.2" customHeight="1" x14ac:dyDescent="0.3">
      <c r="A1988" s="62" t="s">
        <v>50</v>
      </c>
      <c r="B1988" s="62" t="s">
        <v>34</v>
      </c>
      <c r="C1988" s="62" t="s">
        <v>51</v>
      </c>
      <c r="D1988" s="62" t="s">
        <v>52</v>
      </c>
      <c r="E1988" s="74" t="s">
        <v>53</v>
      </c>
      <c r="F1988" s="64" t="s">
        <v>186</v>
      </c>
      <c r="G1988" s="64" t="s">
        <v>38</v>
      </c>
      <c r="H1988" s="73"/>
    </row>
    <row r="1989" spans="1:8" ht="17.2" customHeight="1" x14ac:dyDescent="0.3">
      <c r="A1989" s="62">
        <v>1</v>
      </c>
      <c r="B1989" s="63" t="s">
        <v>79</v>
      </c>
      <c r="C1989" s="77">
        <v>120000</v>
      </c>
      <c r="D1989" s="78">
        <v>0.75</v>
      </c>
      <c r="E1989" s="79">
        <f>+(A1989*C1989)+(A1989*C1989*D1989)</f>
        <v>210000</v>
      </c>
      <c r="F1989" s="75">
        <v>45</v>
      </c>
      <c r="G1989" s="65">
        <f>ROUND(E1989/(F1989),2)</f>
        <v>4666.67</v>
      </c>
      <c r="H1989" s="73"/>
    </row>
    <row r="1990" spans="1:8" ht="17.2" customHeight="1" x14ac:dyDescent="0.3">
      <c r="A1990" s="62">
        <v>4</v>
      </c>
      <c r="B1990" s="63" t="s">
        <v>80</v>
      </c>
      <c r="C1990" s="77">
        <v>70000</v>
      </c>
      <c r="D1990" s="78">
        <v>0.75</v>
      </c>
      <c r="E1990" s="79">
        <f>+(A1990*C1990)+(A1990*C1990*D1990)</f>
        <v>490000</v>
      </c>
      <c r="F1990" s="75">
        <v>45</v>
      </c>
      <c r="G1990" s="65">
        <f>ROUND(E1990/(F1990),2)</f>
        <v>10888.89</v>
      </c>
      <c r="H1990" s="73"/>
    </row>
    <row r="1991" spans="1:8" ht="17.2" customHeight="1" x14ac:dyDescent="0.3">
      <c r="A1991" s="63"/>
      <c r="B1991" s="63"/>
      <c r="C1991" s="63"/>
      <c r="D1991" s="63"/>
      <c r="E1991" s="64"/>
      <c r="F1991" s="64"/>
      <c r="G1991" s="64"/>
      <c r="H1991" s="73"/>
    </row>
    <row r="1992" spans="1:8" ht="17.2" customHeight="1" x14ac:dyDescent="0.3">
      <c r="A1992" s="70"/>
      <c r="E1992" s="71" t="s">
        <v>54</v>
      </c>
      <c r="F1992" s="71"/>
      <c r="G1992" s="71"/>
      <c r="H1992" s="72">
        <f>ROUND(SUM(G1989)+(G1990),2)</f>
        <v>15555.56</v>
      </c>
    </row>
    <row r="1993" spans="1:8" ht="17.2" customHeight="1" x14ac:dyDescent="0.3">
      <c r="A1993" s="61" t="s">
        <v>55</v>
      </c>
      <c r="B1993" s="525" t="s">
        <v>56</v>
      </c>
      <c r="C1993" s="526"/>
      <c r="D1993" s="526"/>
      <c r="E1993" s="526"/>
      <c r="F1993" s="526"/>
      <c r="G1993" s="527"/>
      <c r="H1993" s="73"/>
    </row>
    <row r="1994" spans="1:8" ht="17.2" customHeight="1" x14ac:dyDescent="0.3">
      <c r="A1994" s="63"/>
      <c r="B1994" s="63" t="s">
        <v>34</v>
      </c>
      <c r="C1994" s="62" t="s">
        <v>43</v>
      </c>
      <c r="D1994" s="62" t="s">
        <v>57</v>
      </c>
      <c r="E1994" s="62" t="s">
        <v>58</v>
      </c>
      <c r="F1994" s="62"/>
      <c r="G1994" s="64" t="s">
        <v>59</v>
      </c>
      <c r="H1994" s="73"/>
    </row>
    <row r="1995" spans="1:8" ht="17.2" customHeight="1" x14ac:dyDescent="0.3">
      <c r="A1995" s="63"/>
      <c r="B1995" s="63" t="s">
        <v>82</v>
      </c>
      <c r="C1995" s="80" t="s">
        <v>83</v>
      </c>
      <c r="D1995" s="63">
        <v>5.0000000000000001E-3</v>
      </c>
      <c r="E1995" s="64">
        <v>50000</v>
      </c>
      <c r="F1995" s="64"/>
      <c r="G1995" s="64">
        <f>D1995*E1995</f>
        <v>250</v>
      </c>
      <c r="H1995" s="73"/>
    </row>
    <row r="1996" spans="1:8" ht="17.2" customHeight="1" x14ac:dyDescent="0.3">
      <c r="A1996" s="63"/>
      <c r="B1996" s="63"/>
      <c r="C1996" s="81"/>
      <c r="D1996" s="63"/>
      <c r="E1996" s="64"/>
      <c r="F1996" s="64"/>
      <c r="G1996" s="64"/>
      <c r="H1996" s="73"/>
    </row>
    <row r="1997" spans="1:8" ht="17.2" customHeight="1" x14ac:dyDescent="0.3">
      <c r="A1997" s="63"/>
      <c r="B1997" s="63"/>
      <c r="C1997" s="63"/>
      <c r="D1997" s="63"/>
      <c r="E1997" s="64"/>
      <c r="F1997" s="64"/>
      <c r="G1997" s="64"/>
      <c r="H1997" s="73"/>
    </row>
    <row r="1998" spans="1:8" ht="17.2" customHeight="1" x14ac:dyDescent="0.3">
      <c r="A1998" s="70"/>
      <c r="E1998" s="71" t="s">
        <v>54</v>
      </c>
      <c r="F1998" s="71"/>
      <c r="G1998" s="71"/>
      <c r="H1998" s="119">
        <f>ROUND(SUM(G1995)+(G1996),0)</f>
        <v>250</v>
      </c>
    </row>
    <row r="1999" spans="1:8" ht="17.2" customHeight="1" x14ac:dyDescent="0.3">
      <c r="A1999" s="59"/>
      <c r="E1999" s="71"/>
      <c r="F1999" s="71"/>
      <c r="G1999" s="71"/>
      <c r="H1999" s="73"/>
    </row>
    <row r="2000" spans="1:8" ht="17.2" customHeight="1" x14ac:dyDescent="0.3">
      <c r="A2000" s="59"/>
      <c r="D2000" s="82" t="s">
        <v>60</v>
      </c>
      <c r="E2000" s="83"/>
      <c r="F2000" s="83"/>
      <c r="G2000" s="83"/>
      <c r="H2000" s="72">
        <f>ROUND(SUM(H1977:H1999),2)</f>
        <v>72137.119999999995</v>
      </c>
    </row>
    <row r="2001" spans="1:8" ht="17.2" customHeight="1" x14ac:dyDescent="0.3">
      <c r="A2001" s="59"/>
      <c r="E2001" s="71"/>
      <c r="F2001" s="71"/>
      <c r="G2001" s="71"/>
      <c r="H2001" s="73"/>
    </row>
    <row r="2002" spans="1:8" ht="17.2" customHeight="1" x14ac:dyDescent="0.3">
      <c r="A2002" s="61" t="s">
        <v>61</v>
      </c>
      <c r="B2002" s="525" t="s">
        <v>62</v>
      </c>
      <c r="C2002" s="526"/>
      <c r="D2002" s="526"/>
      <c r="E2002" s="526"/>
      <c r="F2002" s="526"/>
      <c r="G2002" s="527"/>
      <c r="H2002" s="73"/>
    </row>
    <row r="2003" spans="1:8" ht="17.2" customHeight="1" x14ac:dyDescent="0.3">
      <c r="A2003" s="62"/>
      <c r="B2003" s="518" t="s">
        <v>34</v>
      </c>
      <c r="C2003" s="519"/>
      <c r="D2003" s="518" t="s">
        <v>63</v>
      </c>
      <c r="E2003" s="519"/>
      <c r="F2003" s="528" t="s">
        <v>64</v>
      </c>
      <c r="G2003" s="529"/>
      <c r="H2003" s="73"/>
    </row>
    <row r="2004" spans="1:8" ht="17.2" customHeight="1" x14ac:dyDescent="0.3">
      <c r="A2004" s="63"/>
      <c r="B2004" s="518" t="s">
        <v>20</v>
      </c>
      <c r="C2004" s="519"/>
      <c r="D2004" s="520">
        <v>0.28000000000000003</v>
      </c>
      <c r="E2004" s="519"/>
      <c r="F2004" s="521">
        <f>+H2000*D2004</f>
        <v>20198.393599999999</v>
      </c>
      <c r="G2004" s="522"/>
      <c r="H2004" s="73"/>
    </row>
    <row r="2005" spans="1:8" ht="17.2" customHeight="1" x14ac:dyDescent="0.3">
      <c r="A2005" s="63"/>
      <c r="B2005" s="518" t="s">
        <v>21</v>
      </c>
      <c r="C2005" s="519"/>
      <c r="D2005" s="520">
        <v>0.01</v>
      </c>
      <c r="E2005" s="519"/>
      <c r="F2005" s="521">
        <f>+H2000*D2005</f>
        <v>721.37119999999993</v>
      </c>
      <c r="G2005" s="522"/>
      <c r="H2005" s="73"/>
    </row>
    <row r="2006" spans="1:8" ht="17.2" customHeight="1" x14ac:dyDescent="0.3">
      <c r="A2006" s="63"/>
      <c r="B2006" s="518" t="s">
        <v>22</v>
      </c>
      <c r="C2006" s="519"/>
      <c r="D2006" s="520">
        <v>0.03</v>
      </c>
      <c r="E2006" s="519"/>
      <c r="F2006" s="521">
        <f>+H2000*D2006</f>
        <v>2164.1135999999997</v>
      </c>
      <c r="G2006" s="522"/>
      <c r="H2006" s="73"/>
    </row>
    <row r="2007" spans="1:8" ht="17.2" customHeight="1" x14ac:dyDescent="0.3">
      <c r="A2007" s="63"/>
      <c r="B2007" s="518" t="s">
        <v>188</v>
      </c>
      <c r="C2007" s="519"/>
      <c r="D2007" s="520">
        <v>0.19</v>
      </c>
      <c r="E2007" s="519"/>
      <c r="F2007" s="521">
        <f>D2007*F2006</f>
        <v>411.18158399999993</v>
      </c>
      <c r="G2007" s="522"/>
      <c r="H2007" s="73"/>
    </row>
    <row r="2008" spans="1:8" ht="17.2" customHeight="1" x14ac:dyDescent="0.3">
      <c r="A2008" s="59"/>
      <c r="D2008" s="82" t="s">
        <v>65</v>
      </c>
      <c r="E2008" s="83"/>
      <c r="F2008" s="83"/>
      <c r="G2008" s="83"/>
      <c r="H2008" s="72">
        <f>SUM(F2004:G2007)</f>
        <v>23495.059984</v>
      </c>
    </row>
    <row r="2009" spans="1:8" ht="17.2" customHeight="1" x14ac:dyDescent="0.3">
      <c r="A2009" s="59"/>
      <c r="E2009" s="71"/>
      <c r="F2009" s="71"/>
      <c r="G2009" s="71"/>
      <c r="H2009" s="73"/>
    </row>
    <row r="2010" spans="1:8" ht="17.2" customHeight="1" x14ac:dyDescent="0.3">
      <c r="A2010" s="59"/>
      <c r="D2010" s="82" t="s">
        <v>66</v>
      </c>
      <c r="E2010" s="83"/>
      <c r="F2010" s="83"/>
      <c r="G2010" s="71"/>
      <c r="H2010" s="72">
        <f>H2000+H2008</f>
        <v>95632.179983999988</v>
      </c>
    </row>
    <row r="2011" spans="1:8" ht="17.2" customHeight="1" x14ac:dyDescent="0.3">
      <c r="A2011" s="59"/>
      <c r="D2011" s="82"/>
      <c r="E2011" s="83"/>
      <c r="F2011" s="83"/>
      <c r="G2011" s="71"/>
      <c r="H2011" s="73"/>
    </row>
    <row r="2012" spans="1:8" ht="17.2" customHeight="1" x14ac:dyDescent="0.3">
      <c r="A2012" s="59"/>
      <c r="E2012" s="83"/>
      <c r="F2012" s="83"/>
      <c r="G2012" s="71"/>
      <c r="H2012" s="73"/>
    </row>
    <row r="2013" spans="1:8" ht="17.2" customHeight="1" x14ac:dyDescent="0.3">
      <c r="A2013" s="84"/>
      <c r="B2013" s="85"/>
      <c r="E2013" s="46"/>
      <c r="F2013" s="47"/>
      <c r="G2013" s="48"/>
      <c r="H2013" s="73"/>
    </row>
    <row r="2014" spans="1:8" ht="17.2" customHeight="1" x14ac:dyDescent="0.3">
      <c r="A2014" s="86" t="s">
        <v>67</v>
      </c>
      <c r="B2014" s="50" t="s">
        <v>68</v>
      </c>
      <c r="E2014" s="49" t="s">
        <v>27</v>
      </c>
      <c r="F2014" s="50"/>
      <c r="G2014" s="50"/>
      <c r="H2014" s="87"/>
    </row>
    <row r="2015" spans="1:8" ht="17.2" customHeight="1" x14ac:dyDescent="0.3">
      <c r="A2015" s="88" t="s">
        <v>28</v>
      </c>
      <c r="B2015" s="50"/>
      <c r="E2015" s="50" t="str">
        <f ca="1">+$E$52</f>
        <v>SECRETARIO DE PLANEACION Y OBRAS PUBLICAS</v>
      </c>
      <c r="F2015" s="50"/>
      <c r="G2015" s="50"/>
      <c r="H2015" s="87"/>
    </row>
    <row r="2016" spans="1:8" ht="18.2" customHeight="1" x14ac:dyDescent="0.3">
      <c r="A2016" s="88"/>
      <c r="B2016" s="50"/>
      <c r="E2016" s="50" t="str">
        <f ca="1">+$E$53</f>
        <v>SAN MIGUEL - PUTUMAYO</v>
      </c>
      <c r="F2016" s="50"/>
      <c r="G2016" s="50"/>
      <c r="H2016" s="87"/>
    </row>
    <row r="2017" spans="1:8" ht="18.2" customHeight="1" x14ac:dyDescent="0.3">
      <c r="A2017" s="50"/>
      <c r="B2017" s="50"/>
      <c r="E2017" s="50"/>
      <c r="F2017" s="50"/>
      <c r="G2017" s="50"/>
      <c r="H2017" s="50"/>
    </row>
    <row r="2018" spans="1:8" ht="17.2" customHeight="1" x14ac:dyDescent="0.3">
      <c r="A2018" s="556"/>
      <c r="B2018" s="557"/>
      <c r="C2018" s="380" t="s">
        <v>2</v>
      </c>
      <c r="D2018" s="382" t="s">
        <v>3</v>
      </c>
      <c r="E2018" s="383"/>
      <c r="F2018" s="1">
        <v>103</v>
      </c>
      <c r="G2018" s="548"/>
      <c r="H2018" s="549"/>
    </row>
    <row r="2019" spans="1:8" ht="17.2" customHeight="1" x14ac:dyDescent="0.3">
      <c r="A2019" s="558"/>
      <c r="B2019" s="559"/>
      <c r="C2019" s="381"/>
      <c r="D2019" s="396" t="s">
        <v>4</v>
      </c>
      <c r="E2019" s="397"/>
      <c r="F2019" s="400">
        <v>51</v>
      </c>
      <c r="G2019" s="550"/>
      <c r="H2019" s="551"/>
    </row>
    <row r="2020" spans="1:8" ht="17.2" customHeight="1" x14ac:dyDescent="0.3">
      <c r="A2020" s="558"/>
      <c r="B2020" s="559"/>
      <c r="C2020" s="5" t="s">
        <v>5</v>
      </c>
      <c r="D2020" s="398"/>
      <c r="E2020" s="399"/>
      <c r="F2020" s="401"/>
      <c r="G2020" s="550"/>
      <c r="H2020" s="551"/>
    </row>
    <row r="2021" spans="1:8" ht="26.85" customHeight="1" x14ac:dyDescent="0.3">
      <c r="A2021" s="558"/>
      <c r="B2021" s="559"/>
      <c r="C2021" s="55" t="s">
        <v>6</v>
      </c>
      <c r="D2021" s="402" t="s">
        <v>7</v>
      </c>
      <c r="E2021" s="403"/>
      <c r="F2021" s="7">
        <v>1</v>
      </c>
      <c r="G2021" s="550"/>
      <c r="H2021" s="551"/>
    </row>
    <row r="2022" spans="1:8" ht="17.2" customHeight="1" x14ac:dyDescent="0.3">
      <c r="A2022" s="558"/>
      <c r="B2022" s="559"/>
      <c r="C2022" s="530" t="s">
        <v>8</v>
      </c>
      <c r="D2022" s="532" t="s">
        <v>9</v>
      </c>
      <c r="E2022" s="533"/>
      <c r="F2022" s="5" t="s">
        <v>10</v>
      </c>
      <c r="G2022" s="550"/>
      <c r="H2022" s="551"/>
    </row>
    <row r="2023" spans="1:8" ht="17.2" customHeight="1" x14ac:dyDescent="0.3">
      <c r="A2023" s="560"/>
      <c r="B2023" s="561"/>
      <c r="C2023" s="531"/>
      <c r="D2023" s="534"/>
      <c r="E2023" s="535"/>
      <c r="F2023" s="8">
        <f>$F$6</f>
        <v>45402</v>
      </c>
      <c r="G2023" s="552"/>
      <c r="H2023" s="553"/>
    </row>
    <row r="2024" spans="1:8" ht="17.2" customHeight="1" thickBot="1" x14ac:dyDescent="0.35">
      <c r="A2024" s="536"/>
      <c r="B2024" s="537"/>
      <c r="C2024" s="537"/>
      <c r="D2024" s="537"/>
      <c r="E2024" s="537"/>
      <c r="F2024" s="537"/>
      <c r="G2024" s="537"/>
      <c r="H2024" s="538"/>
    </row>
    <row r="2025" spans="1:8" ht="28.15" customHeight="1" thickBot="1" x14ac:dyDescent="0.35">
      <c r="A2025" s="92">
        <v>6.2</v>
      </c>
      <c r="B2025" s="539" t="str">
        <f>VLOOKUP(A2025,PRESUPUESTO!$A$14:$G$71,2,)</f>
        <v>Muro en mamposteria en ladrillo farol No3</v>
      </c>
      <c r="C2025" s="540"/>
      <c r="D2025" s="540"/>
      <c r="E2025" s="540"/>
      <c r="F2025" s="541"/>
      <c r="G2025" s="57" t="s">
        <v>31</v>
      </c>
      <c r="H2025" s="58" t="str">
        <f>VLOOKUP(A2025,PRESUPUESTO!$A$14:$G$71,4,)</f>
        <v>M2</v>
      </c>
    </row>
    <row r="2026" spans="1:8" ht="17.2" customHeight="1" x14ac:dyDescent="0.3">
      <c r="A2026" s="59"/>
      <c r="H2026" s="60"/>
    </row>
    <row r="2027" spans="1:8" ht="17.2" customHeight="1" x14ac:dyDescent="0.3">
      <c r="A2027" s="61" t="s">
        <v>32</v>
      </c>
      <c r="B2027" s="525" t="s">
        <v>33</v>
      </c>
      <c r="C2027" s="526"/>
      <c r="D2027" s="526"/>
      <c r="E2027" s="526"/>
      <c r="F2027" s="526"/>
      <c r="G2027" s="527"/>
      <c r="H2027" s="60"/>
    </row>
    <row r="2028" spans="1:8" ht="17.2" customHeight="1" x14ac:dyDescent="0.3">
      <c r="A2028" s="62"/>
      <c r="B2028" s="518" t="s">
        <v>34</v>
      </c>
      <c r="C2028" s="519"/>
      <c r="D2028" s="62" t="s">
        <v>35</v>
      </c>
      <c r="E2028" s="62" t="s">
        <v>69</v>
      </c>
      <c r="F2028" s="62" t="s">
        <v>70</v>
      </c>
      <c r="G2028" s="62" t="s">
        <v>38</v>
      </c>
      <c r="H2028" s="60"/>
    </row>
    <row r="2029" spans="1:8" ht="17.2" customHeight="1" x14ac:dyDescent="0.3">
      <c r="A2029" s="63"/>
      <c r="B2029" s="542" t="s">
        <v>39</v>
      </c>
      <c r="C2029" s="543"/>
      <c r="D2029" s="63"/>
      <c r="E2029" s="64"/>
      <c r="F2029" s="64">
        <v>0.1</v>
      </c>
      <c r="G2029" s="65">
        <f>ROUND(H2046*F2029,2)</f>
        <v>1750</v>
      </c>
      <c r="H2029" s="66"/>
    </row>
    <row r="2030" spans="1:8" ht="17.2" customHeight="1" x14ac:dyDescent="0.3">
      <c r="A2030" s="63"/>
      <c r="B2030" s="542"/>
      <c r="C2030" s="543"/>
      <c r="D2030" s="62"/>
      <c r="E2030" s="68"/>
      <c r="F2030" s="64"/>
      <c r="G2030" s="69"/>
      <c r="H2030" s="66"/>
    </row>
    <row r="2031" spans="1:8" ht="17.2" customHeight="1" x14ac:dyDescent="0.3">
      <c r="A2031" s="70"/>
      <c r="E2031" s="71" t="s">
        <v>40</v>
      </c>
      <c r="F2031" s="71"/>
      <c r="G2031" s="71"/>
      <c r="H2031" s="72">
        <f>ROUND(SUM(G2029:G2030),2)</f>
        <v>1750</v>
      </c>
    </row>
    <row r="2032" spans="1:8" ht="17.2" customHeight="1" x14ac:dyDescent="0.3">
      <c r="A2032" s="61" t="s">
        <v>41</v>
      </c>
      <c r="B2032" s="525" t="s">
        <v>42</v>
      </c>
      <c r="C2032" s="526"/>
      <c r="D2032" s="526"/>
      <c r="E2032" s="526"/>
      <c r="F2032" s="526"/>
      <c r="G2032" s="527"/>
      <c r="H2032" s="73"/>
    </row>
    <row r="2033" spans="1:8" ht="17.2" customHeight="1" x14ac:dyDescent="0.3">
      <c r="A2033" s="62"/>
      <c r="B2033" s="518" t="s">
        <v>34</v>
      </c>
      <c r="C2033" s="519"/>
      <c r="D2033" s="62" t="s">
        <v>43</v>
      </c>
      <c r="E2033" s="74" t="s">
        <v>44</v>
      </c>
      <c r="F2033" s="74" t="s">
        <v>45</v>
      </c>
      <c r="G2033" s="74" t="s">
        <v>38</v>
      </c>
      <c r="H2033" s="73"/>
    </row>
    <row r="2034" spans="1:8" ht="19.149999999999999" customHeight="1" x14ac:dyDescent="0.3">
      <c r="A2034" s="63"/>
      <c r="B2034" s="544" t="s">
        <v>225</v>
      </c>
      <c r="C2034" s="545"/>
      <c r="D2034" s="270" t="s">
        <v>218</v>
      </c>
      <c r="E2034" s="94">
        <v>14</v>
      </c>
      <c r="F2034" s="95">
        <v>2600</v>
      </c>
      <c r="G2034" s="120">
        <f>ROUND(E2034*F2034,2)</f>
        <v>36400</v>
      </c>
      <c r="H2034" s="73"/>
    </row>
    <row r="2035" spans="1:8" ht="17.2" customHeight="1" x14ac:dyDescent="0.3">
      <c r="A2035" s="63"/>
      <c r="B2035" s="546" t="s">
        <v>181</v>
      </c>
      <c r="C2035" s="547"/>
      <c r="D2035" s="270" t="s">
        <v>197</v>
      </c>
      <c r="E2035" s="94">
        <f>364*0.03</f>
        <v>10.92</v>
      </c>
      <c r="F2035" s="95">
        <v>800</v>
      </c>
      <c r="G2035" s="67">
        <f t="shared" ref="G2035:G2036" si="25">ROUND(E2035*F2035,2)</f>
        <v>8736</v>
      </c>
      <c r="H2035" s="73"/>
    </row>
    <row r="2036" spans="1:8" ht="17.2" customHeight="1" x14ac:dyDescent="0.3">
      <c r="A2036" s="63"/>
      <c r="B2036" s="523" t="s">
        <v>264</v>
      </c>
      <c r="C2036" s="524"/>
      <c r="D2036" s="93" t="s">
        <v>0</v>
      </c>
      <c r="E2036" s="94">
        <f>1.16*0.03</f>
        <v>3.4799999999999998E-2</v>
      </c>
      <c r="F2036" s="95">
        <v>70000</v>
      </c>
      <c r="G2036" s="67">
        <f t="shared" si="25"/>
        <v>2436</v>
      </c>
      <c r="H2036" s="73"/>
    </row>
    <row r="2037" spans="1:8" ht="17.2" customHeight="1" x14ac:dyDescent="0.3">
      <c r="A2037" s="63"/>
      <c r="B2037" s="523" t="s">
        <v>184</v>
      </c>
      <c r="C2037" s="524"/>
      <c r="D2037" s="93" t="s">
        <v>185</v>
      </c>
      <c r="E2037" s="94">
        <f>170*0.03</f>
        <v>5.0999999999999996</v>
      </c>
      <c r="F2037" s="95">
        <v>40</v>
      </c>
      <c r="G2037" s="67">
        <f>E2037*F2037</f>
        <v>204</v>
      </c>
      <c r="H2037" s="73"/>
    </row>
    <row r="2038" spans="1:8" ht="17.2" customHeight="1" x14ac:dyDescent="0.3">
      <c r="A2038" s="63"/>
      <c r="B2038" s="523"/>
      <c r="C2038" s="524"/>
      <c r="D2038" s="93"/>
      <c r="E2038" s="94"/>
      <c r="F2038" s="95"/>
      <c r="G2038" s="67"/>
      <c r="H2038" s="73"/>
    </row>
    <row r="2039" spans="1:8" ht="17.2" customHeight="1" x14ac:dyDescent="0.3">
      <c r="A2039" s="63"/>
      <c r="B2039" s="523"/>
      <c r="C2039" s="524"/>
      <c r="D2039" s="93"/>
      <c r="E2039" s="94"/>
      <c r="F2039" s="95"/>
      <c r="G2039" s="67"/>
      <c r="H2039" s="73"/>
    </row>
    <row r="2040" spans="1:8" ht="17.2" customHeight="1" x14ac:dyDescent="0.3">
      <c r="A2040" s="70" t="s">
        <v>46</v>
      </c>
      <c r="E2040" s="71" t="s">
        <v>47</v>
      </c>
      <c r="F2040" s="71"/>
      <c r="G2040" s="71"/>
      <c r="H2040" s="76">
        <f>ROUND(SUM(G2034:G2039),2)</f>
        <v>47776</v>
      </c>
    </row>
    <row r="2041" spans="1:8" ht="17.2" customHeight="1" x14ac:dyDescent="0.3">
      <c r="A2041" s="61" t="s">
        <v>48</v>
      </c>
      <c r="B2041" s="525" t="s">
        <v>49</v>
      </c>
      <c r="C2041" s="526"/>
      <c r="D2041" s="526"/>
      <c r="E2041" s="526"/>
      <c r="F2041" s="526"/>
      <c r="G2041" s="527"/>
      <c r="H2041" s="73"/>
    </row>
    <row r="2042" spans="1:8" ht="17.2" customHeight="1" x14ac:dyDescent="0.3">
      <c r="A2042" s="62" t="s">
        <v>50</v>
      </c>
      <c r="B2042" s="62" t="s">
        <v>34</v>
      </c>
      <c r="C2042" s="62" t="s">
        <v>51</v>
      </c>
      <c r="D2042" s="62" t="s">
        <v>52</v>
      </c>
      <c r="E2042" s="74" t="s">
        <v>53</v>
      </c>
      <c r="F2042" s="64" t="s">
        <v>186</v>
      </c>
      <c r="G2042" s="64" t="s">
        <v>38</v>
      </c>
      <c r="H2042" s="73"/>
    </row>
    <row r="2043" spans="1:8" ht="17.2" customHeight="1" x14ac:dyDescent="0.3">
      <c r="A2043" s="62">
        <v>1</v>
      </c>
      <c r="B2043" s="63" t="s">
        <v>79</v>
      </c>
      <c r="C2043" s="77">
        <v>120000</v>
      </c>
      <c r="D2043" s="78">
        <v>0.75</v>
      </c>
      <c r="E2043" s="79">
        <f>+(A2043*C2043)+(A2043*C2043*D2043)</f>
        <v>210000</v>
      </c>
      <c r="F2043" s="75">
        <v>40</v>
      </c>
      <c r="G2043" s="65">
        <f>ROUND(E2043/(F2043),2)</f>
        <v>5250</v>
      </c>
      <c r="H2043" s="73"/>
    </row>
    <row r="2044" spans="1:8" ht="17.2" customHeight="1" x14ac:dyDescent="0.3">
      <c r="A2044" s="62">
        <v>4</v>
      </c>
      <c r="B2044" s="63" t="s">
        <v>80</v>
      </c>
      <c r="C2044" s="77">
        <v>70000</v>
      </c>
      <c r="D2044" s="78">
        <v>0.75</v>
      </c>
      <c r="E2044" s="79">
        <f>+(A2044*C2044)+(A2044*C2044*D2044)</f>
        <v>490000</v>
      </c>
      <c r="F2044" s="75">
        <v>40</v>
      </c>
      <c r="G2044" s="65">
        <f>ROUND(E2044/(F2044),2)</f>
        <v>12250</v>
      </c>
      <c r="H2044" s="73"/>
    </row>
    <row r="2045" spans="1:8" ht="17.2" customHeight="1" x14ac:dyDescent="0.3">
      <c r="A2045" s="63"/>
      <c r="B2045" s="63"/>
      <c r="C2045" s="63"/>
      <c r="D2045" s="63"/>
      <c r="E2045" s="64"/>
      <c r="F2045" s="64"/>
      <c r="G2045" s="64"/>
      <c r="H2045" s="73"/>
    </row>
    <row r="2046" spans="1:8" ht="17.2" customHeight="1" x14ac:dyDescent="0.3">
      <c r="A2046" s="70"/>
      <c r="E2046" s="71" t="s">
        <v>54</v>
      </c>
      <c r="F2046" s="71"/>
      <c r="G2046" s="71"/>
      <c r="H2046" s="72">
        <f>ROUND(SUM(G2043)+(G2044),2)</f>
        <v>17500</v>
      </c>
    </row>
    <row r="2047" spans="1:8" ht="17.2" customHeight="1" x14ac:dyDescent="0.3">
      <c r="A2047" s="61" t="s">
        <v>55</v>
      </c>
      <c r="B2047" s="525" t="s">
        <v>56</v>
      </c>
      <c r="C2047" s="526"/>
      <c r="D2047" s="526"/>
      <c r="E2047" s="526"/>
      <c r="F2047" s="526"/>
      <c r="G2047" s="527"/>
      <c r="H2047" s="73"/>
    </row>
    <row r="2048" spans="1:8" ht="17.2" customHeight="1" x14ac:dyDescent="0.3">
      <c r="A2048" s="63"/>
      <c r="B2048" s="63" t="s">
        <v>34</v>
      </c>
      <c r="C2048" s="62" t="s">
        <v>43</v>
      </c>
      <c r="D2048" s="62" t="s">
        <v>57</v>
      </c>
      <c r="E2048" s="62" t="s">
        <v>58</v>
      </c>
      <c r="F2048" s="62"/>
      <c r="G2048" s="64" t="s">
        <v>59</v>
      </c>
      <c r="H2048" s="73"/>
    </row>
    <row r="2049" spans="1:8" ht="17.2" customHeight="1" x14ac:dyDescent="0.3">
      <c r="A2049" s="63"/>
      <c r="B2049" s="63" t="s">
        <v>82</v>
      </c>
      <c r="C2049" s="80" t="s">
        <v>83</v>
      </c>
      <c r="D2049" s="63">
        <v>5.0000000000000001E-3</v>
      </c>
      <c r="E2049" s="64">
        <v>50000</v>
      </c>
      <c r="F2049" s="64"/>
      <c r="G2049" s="64">
        <f>D2049*E2049</f>
        <v>250</v>
      </c>
      <c r="H2049" s="73"/>
    </row>
    <row r="2050" spans="1:8" ht="17.2" customHeight="1" x14ac:dyDescent="0.3">
      <c r="A2050" s="63"/>
      <c r="B2050" s="63"/>
      <c r="C2050" s="81"/>
      <c r="D2050" s="63"/>
      <c r="E2050" s="64"/>
      <c r="F2050" s="64"/>
      <c r="G2050" s="64"/>
      <c r="H2050" s="73"/>
    </row>
    <row r="2051" spans="1:8" ht="17.2" customHeight="1" x14ac:dyDescent="0.3">
      <c r="A2051" s="63"/>
      <c r="B2051" s="63"/>
      <c r="C2051" s="63"/>
      <c r="D2051" s="63"/>
      <c r="E2051" s="64"/>
      <c r="F2051" s="64"/>
      <c r="G2051" s="64"/>
      <c r="H2051" s="73"/>
    </row>
    <row r="2052" spans="1:8" ht="17.2" customHeight="1" x14ac:dyDescent="0.3">
      <c r="A2052" s="70"/>
      <c r="E2052" s="71" t="s">
        <v>54</v>
      </c>
      <c r="F2052" s="71"/>
      <c r="G2052" s="71"/>
      <c r="H2052" s="119">
        <f>ROUND(SUM(G2049)+(G2050),0)</f>
        <v>250</v>
      </c>
    </row>
    <row r="2053" spans="1:8" ht="17.2" customHeight="1" x14ac:dyDescent="0.3">
      <c r="A2053" s="59"/>
      <c r="E2053" s="71"/>
      <c r="F2053" s="71"/>
      <c r="G2053" s="71"/>
      <c r="H2053" s="73"/>
    </row>
    <row r="2054" spans="1:8" ht="17.2" customHeight="1" x14ac:dyDescent="0.3">
      <c r="A2054" s="59"/>
      <c r="D2054" s="82" t="s">
        <v>60</v>
      </c>
      <c r="E2054" s="83"/>
      <c r="F2054" s="83"/>
      <c r="G2054" s="83"/>
      <c r="H2054" s="72">
        <f>ROUND(SUM(H2031:H2053),2)</f>
        <v>67276</v>
      </c>
    </row>
    <row r="2055" spans="1:8" ht="17.2" customHeight="1" x14ac:dyDescent="0.3">
      <c r="A2055" s="59"/>
      <c r="E2055" s="71"/>
      <c r="F2055" s="71"/>
      <c r="G2055" s="71"/>
      <c r="H2055" s="73"/>
    </row>
    <row r="2056" spans="1:8" ht="17.2" customHeight="1" x14ac:dyDescent="0.3">
      <c r="A2056" s="61" t="s">
        <v>61</v>
      </c>
      <c r="B2056" s="525" t="s">
        <v>62</v>
      </c>
      <c r="C2056" s="526"/>
      <c r="D2056" s="526"/>
      <c r="E2056" s="526"/>
      <c r="F2056" s="526"/>
      <c r="G2056" s="527"/>
      <c r="H2056" s="73"/>
    </row>
    <row r="2057" spans="1:8" ht="17.2" customHeight="1" x14ac:dyDescent="0.3">
      <c r="A2057" s="62"/>
      <c r="B2057" s="518" t="s">
        <v>34</v>
      </c>
      <c r="C2057" s="519"/>
      <c r="D2057" s="518" t="s">
        <v>63</v>
      </c>
      <c r="E2057" s="519"/>
      <c r="F2057" s="528" t="s">
        <v>64</v>
      </c>
      <c r="G2057" s="529"/>
      <c r="H2057" s="73"/>
    </row>
    <row r="2058" spans="1:8" ht="17.2" customHeight="1" x14ac:dyDescent="0.3">
      <c r="A2058" s="63"/>
      <c r="B2058" s="518" t="s">
        <v>20</v>
      </c>
      <c r="C2058" s="519"/>
      <c r="D2058" s="520">
        <v>0.28000000000000003</v>
      </c>
      <c r="E2058" s="519"/>
      <c r="F2058" s="521">
        <f>+H2054*D2058</f>
        <v>18837.280000000002</v>
      </c>
      <c r="G2058" s="522"/>
      <c r="H2058" s="73"/>
    </row>
    <row r="2059" spans="1:8" ht="17.2" customHeight="1" x14ac:dyDescent="0.3">
      <c r="A2059" s="63"/>
      <c r="B2059" s="518" t="s">
        <v>21</v>
      </c>
      <c r="C2059" s="519"/>
      <c r="D2059" s="520">
        <v>0.01</v>
      </c>
      <c r="E2059" s="519"/>
      <c r="F2059" s="521">
        <f>+H2054*D2059</f>
        <v>672.76</v>
      </c>
      <c r="G2059" s="522"/>
      <c r="H2059" s="73"/>
    </row>
    <row r="2060" spans="1:8" ht="17.2" customHeight="1" x14ac:dyDescent="0.3">
      <c r="A2060" s="63"/>
      <c r="B2060" s="518" t="s">
        <v>22</v>
      </c>
      <c r="C2060" s="519"/>
      <c r="D2060" s="520">
        <v>0.03</v>
      </c>
      <c r="E2060" s="519"/>
      <c r="F2060" s="521">
        <f>+H2054*D2060</f>
        <v>2018.28</v>
      </c>
      <c r="G2060" s="522"/>
      <c r="H2060" s="73"/>
    </row>
    <row r="2061" spans="1:8" ht="17.2" customHeight="1" x14ac:dyDescent="0.3">
      <c r="A2061" s="63"/>
      <c r="B2061" s="518" t="s">
        <v>188</v>
      </c>
      <c r="C2061" s="519"/>
      <c r="D2061" s="520">
        <v>0.19</v>
      </c>
      <c r="E2061" s="519"/>
      <c r="F2061" s="521">
        <f>D2061*F2060</f>
        <v>383.47320000000002</v>
      </c>
      <c r="G2061" s="522"/>
      <c r="H2061" s="73"/>
    </row>
    <row r="2062" spans="1:8" ht="17.2" customHeight="1" x14ac:dyDescent="0.3">
      <c r="A2062" s="59"/>
      <c r="D2062" s="82" t="s">
        <v>65</v>
      </c>
      <c r="E2062" s="83"/>
      <c r="F2062" s="83"/>
      <c r="G2062" s="83"/>
      <c r="H2062" s="72">
        <f>SUM(F2058:G2061)</f>
        <v>21911.7932</v>
      </c>
    </row>
    <row r="2063" spans="1:8" ht="17.2" customHeight="1" x14ac:dyDescent="0.3">
      <c r="A2063" s="59"/>
      <c r="E2063" s="71"/>
      <c r="F2063" s="71"/>
      <c r="G2063" s="71"/>
      <c r="H2063" s="73"/>
    </row>
    <row r="2064" spans="1:8" ht="17.2" customHeight="1" x14ac:dyDescent="0.3">
      <c r="A2064" s="59"/>
      <c r="D2064" s="82" t="s">
        <v>66</v>
      </c>
      <c r="E2064" s="83"/>
      <c r="F2064" s="83"/>
      <c r="G2064" s="71"/>
      <c r="H2064" s="72">
        <f>H2054+H2062</f>
        <v>89187.7932</v>
      </c>
    </row>
    <row r="2065" spans="1:8" ht="17.2" customHeight="1" x14ac:dyDescent="0.3">
      <c r="A2065" s="59"/>
      <c r="D2065" s="82"/>
      <c r="E2065" s="83"/>
      <c r="F2065" s="83"/>
      <c r="G2065" s="71"/>
      <c r="H2065" s="73"/>
    </row>
    <row r="2066" spans="1:8" ht="17.2" customHeight="1" x14ac:dyDescent="0.3">
      <c r="A2066" s="59"/>
      <c r="E2066" s="83"/>
      <c r="F2066" s="83"/>
      <c r="G2066" s="71"/>
      <c r="H2066" s="73"/>
    </row>
    <row r="2067" spans="1:8" ht="17.2" customHeight="1" x14ac:dyDescent="0.3">
      <c r="A2067" s="84"/>
      <c r="B2067" s="85"/>
      <c r="E2067" s="46"/>
      <c r="F2067" s="47"/>
      <c r="G2067" s="48"/>
      <c r="H2067" s="73"/>
    </row>
    <row r="2068" spans="1:8" ht="17.2" customHeight="1" x14ac:dyDescent="0.3">
      <c r="A2068" s="86" t="s">
        <v>67</v>
      </c>
      <c r="B2068" s="50" t="s">
        <v>68</v>
      </c>
      <c r="E2068" s="49" t="s">
        <v>27</v>
      </c>
      <c r="F2068" s="50"/>
      <c r="G2068" s="50"/>
      <c r="H2068" s="87"/>
    </row>
    <row r="2069" spans="1:8" ht="17.2" customHeight="1" x14ac:dyDescent="0.3">
      <c r="A2069" s="88" t="s">
        <v>28</v>
      </c>
      <c r="B2069" s="50"/>
      <c r="E2069" s="50" t="str">
        <f ca="1">+$E$52</f>
        <v>SECRETARIO DE PLANEACION Y OBRAS PUBLICAS</v>
      </c>
      <c r="F2069" s="50"/>
      <c r="G2069" s="50"/>
      <c r="H2069" s="87"/>
    </row>
    <row r="2070" spans="1:8" ht="18.2" customHeight="1" x14ac:dyDescent="0.3">
      <c r="A2070" s="88"/>
      <c r="B2070" s="50"/>
      <c r="E2070" s="50" t="str">
        <f ca="1">+$E$53</f>
        <v>SAN MIGUEL - PUTUMAYO</v>
      </c>
      <c r="F2070" s="50"/>
      <c r="G2070" s="50"/>
      <c r="H2070" s="87"/>
    </row>
    <row r="2071" spans="1:8" ht="18.2" customHeight="1" x14ac:dyDescent="0.3">
      <c r="A2071" s="50"/>
      <c r="B2071" s="50"/>
      <c r="E2071" s="50"/>
      <c r="F2071" s="50"/>
      <c r="G2071" s="50"/>
      <c r="H2071" s="50"/>
    </row>
    <row r="2072" spans="1:8" ht="17.2" customHeight="1" x14ac:dyDescent="0.3">
      <c r="A2072" s="556"/>
      <c r="B2072" s="557"/>
      <c r="C2072" s="380" t="s">
        <v>2</v>
      </c>
      <c r="D2072" s="382" t="s">
        <v>3</v>
      </c>
      <c r="E2072" s="383"/>
      <c r="F2072" s="1">
        <v>103</v>
      </c>
      <c r="G2072" s="548"/>
      <c r="H2072" s="549"/>
    </row>
    <row r="2073" spans="1:8" ht="17.2" customHeight="1" x14ac:dyDescent="0.3">
      <c r="A2073" s="558"/>
      <c r="B2073" s="559"/>
      <c r="C2073" s="381"/>
      <c r="D2073" s="396" t="s">
        <v>4</v>
      </c>
      <c r="E2073" s="397"/>
      <c r="F2073" s="400">
        <v>51</v>
      </c>
      <c r="G2073" s="550"/>
      <c r="H2073" s="551"/>
    </row>
    <row r="2074" spans="1:8" ht="17.2" customHeight="1" x14ac:dyDescent="0.3">
      <c r="A2074" s="558"/>
      <c r="B2074" s="559"/>
      <c r="C2074" s="5" t="s">
        <v>5</v>
      </c>
      <c r="D2074" s="398"/>
      <c r="E2074" s="399"/>
      <c r="F2074" s="401"/>
      <c r="G2074" s="550"/>
      <c r="H2074" s="551"/>
    </row>
    <row r="2075" spans="1:8" ht="26.85" customHeight="1" x14ac:dyDescent="0.3">
      <c r="A2075" s="558"/>
      <c r="B2075" s="559"/>
      <c r="C2075" s="55" t="s">
        <v>6</v>
      </c>
      <c r="D2075" s="402" t="s">
        <v>7</v>
      </c>
      <c r="E2075" s="403"/>
      <c r="F2075" s="7">
        <v>1</v>
      </c>
      <c r="G2075" s="550"/>
      <c r="H2075" s="551"/>
    </row>
    <row r="2076" spans="1:8" ht="17.2" customHeight="1" x14ac:dyDescent="0.3">
      <c r="A2076" s="558"/>
      <c r="B2076" s="559"/>
      <c r="C2076" s="530" t="s">
        <v>8</v>
      </c>
      <c r="D2076" s="532" t="s">
        <v>9</v>
      </c>
      <c r="E2076" s="533"/>
      <c r="F2076" s="5" t="s">
        <v>10</v>
      </c>
      <c r="G2076" s="550"/>
      <c r="H2076" s="551"/>
    </row>
    <row r="2077" spans="1:8" ht="17.2" customHeight="1" x14ac:dyDescent="0.3">
      <c r="A2077" s="560"/>
      <c r="B2077" s="561"/>
      <c r="C2077" s="531"/>
      <c r="D2077" s="534"/>
      <c r="E2077" s="535"/>
      <c r="F2077" s="8">
        <f>$F$6</f>
        <v>45402</v>
      </c>
      <c r="G2077" s="552"/>
      <c r="H2077" s="553"/>
    </row>
    <row r="2078" spans="1:8" ht="17.2" customHeight="1" thickBot="1" x14ac:dyDescent="0.35">
      <c r="A2078" s="536"/>
      <c r="B2078" s="537"/>
      <c r="C2078" s="537"/>
      <c r="D2078" s="537"/>
      <c r="E2078" s="537"/>
      <c r="F2078" s="537"/>
      <c r="G2078" s="537"/>
      <c r="H2078" s="538"/>
    </row>
    <row r="2079" spans="1:8" ht="34.85" customHeight="1" thickBot="1" x14ac:dyDescent="0.35">
      <c r="A2079" s="92">
        <v>6.3</v>
      </c>
      <c r="B2079" s="539" t="str">
        <f>VLOOKUP(A2079,PRESUPUESTO!$A$14:$G$71,2,)</f>
        <v>Suministro y construcción de bordillo en mampostería estructural de ladrillo a la vista, h=0,50 m, con alfajía en concreto reforzado fundido en sitio</v>
      </c>
      <c r="C2079" s="540"/>
      <c r="D2079" s="540"/>
      <c r="E2079" s="540"/>
      <c r="F2079" s="541"/>
      <c r="G2079" s="57" t="s">
        <v>31</v>
      </c>
      <c r="H2079" s="58" t="str">
        <f>VLOOKUP(A2079,PRESUPUESTO!$A$14:$G$71,4,)</f>
        <v>ML</v>
      </c>
    </row>
    <row r="2080" spans="1:8" ht="17.2" customHeight="1" x14ac:dyDescent="0.3">
      <c r="A2080" s="59"/>
      <c r="H2080" s="60"/>
    </row>
    <row r="2081" spans="1:8" ht="17.2" customHeight="1" x14ac:dyDescent="0.3">
      <c r="A2081" s="61" t="s">
        <v>32</v>
      </c>
      <c r="B2081" s="525" t="s">
        <v>33</v>
      </c>
      <c r="C2081" s="526"/>
      <c r="D2081" s="526"/>
      <c r="E2081" s="526"/>
      <c r="F2081" s="526"/>
      <c r="G2081" s="527"/>
      <c r="H2081" s="60"/>
    </row>
    <row r="2082" spans="1:8" ht="17.2" customHeight="1" x14ac:dyDescent="0.3">
      <c r="A2082" s="62"/>
      <c r="B2082" s="518" t="s">
        <v>34</v>
      </c>
      <c r="C2082" s="519"/>
      <c r="D2082" s="62" t="s">
        <v>35</v>
      </c>
      <c r="E2082" s="62" t="s">
        <v>69</v>
      </c>
      <c r="F2082" s="62" t="s">
        <v>70</v>
      </c>
      <c r="G2082" s="62" t="s">
        <v>38</v>
      </c>
      <c r="H2082" s="60"/>
    </row>
    <row r="2083" spans="1:8" ht="26.85" customHeight="1" x14ac:dyDescent="0.3">
      <c r="A2083" s="63"/>
      <c r="B2083" s="542" t="s">
        <v>465</v>
      </c>
      <c r="C2083" s="543"/>
      <c r="D2083" s="63"/>
      <c r="E2083" s="64"/>
      <c r="F2083" s="64">
        <v>0.1</v>
      </c>
      <c r="G2083" s="65">
        <f>ROUND(H2101*F2083,2)</f>
        <v>1555.56</v>
      </c>
      <c r="H2083" s="66"/>
    </row>
    <row r="2084" spans="1:8" ht="17.2" customHeight="1" x14ac:dyDescent="0.3">
      <c r="A2084" s="63"/>
      <c r="B2084" s="542" t="s">
        <v>187</v>
      </c>
      <c r="C2084" s="543"/>
      <c r="D2084" s="62" t="s">
        <v>461</v>
      </c>
      <c r="E2084" s="68">
        <v>100000</v>
      </c>
      <c r="F2084" s="64">
        <v>0.01</v>
      </c>
      <c r="G2084" s="69">
        <f>ROUND(E2084*F2084,2)</f>
        <v>1000</v>
      </c>
      <c r="H2084" s="66"/>
    </row>
    <row r="2085" spans="1:8" ht="17.2" customHeight="1" x14ac:dyDescent="0.3">
      <c r="A2085" s="70"/>
      <c r="E2085" s="71" t="s">
        <v>40</v>
      </c>
      <c r="F2085" s="71"/>
      <c r="G2085" s="71"/>
      <c r="H2085" s="72">
        <f>ROUND(SUM(G2083:G2084),2)</f>
        <v>2555.56</v>
      </c>
    </row>
    <row r="2086" spans="1:8" ht="17.2" customHeight="1" x14ac:dyDescent="0.3">
      <c r="A2086" s="61" t="s">
        <v>41</v>
      </c>
      <c r="B2086" s="525" t="s">
        <v>42</v>
      </c>
      <c r="C2086" s="526"/>
      <c r="D2086" s="526"/>
      <c r="E2086" s="526"/>
      <c r="F2086" s="526"/>
      <c r="G2086" s="527"/>
      <c r="H2086" s="73"/>
    </row>
    <row r="2087" spans="1:8" ht="28.15" customHeight="1" x14ac:dyDescent="0.3">
      <c r="A2087" s="62"/>
      <c r="B2087" s="518" t="s">
        <v>34</v>
      </c>
      <c r="C2087" s="519"/>
      <c r="D2087" s="62" t="s">
        <v>43</v>
      </c>
      <c r="E2087" s="74" t="s">
        <v>44</v>
      </c>
      <c r="F2087" s="74" t="s">
        <v>45</v>
      </c>
      <c r="G2087" s="74" t="s">
        <v>38</v>
      </c>
      <c r="H2087" s="73"/>
    </row>
    <row r="2088" spans="1:8" ht="17.2" customHeight="1" x14ac:dyDescent="0.3">
      <c r="A2088" s="63"/>
      <c r="B2088" s="544" t="s">
        <v>463</v>
      </c>
      <c r="C2088" s="545"/>
      <c r="D2088" s="270" t="s">
        <v>218</v>
      </c>
      <c r="E2088" s="94">
        <v>12</v>
      </c>
      <c r="F2088" s="95">
        <v>2600</v>
      </c>
      <c r="G2088" s="120">
        <f>ROUND(E2088*F2088,2)</f>
        <v>31200</v>
      </c>
      <c r="H2088" s="73"/>
    </row>
    <row r="2089" spans="1:8" ht="17.2" customHeight="1" x14ac:dyDescent="0.3">
      <c r="A2089" s="63"/>
      <c r="B2089" s="546" t="s">
        <v>181</v>
      </c>
      <c r="C2089" s="547"/>
      <c r="D2089" s="270" t="s">
        <v>197</v>
      </c>
      <c r="E2089" s="94">
        <f>364*0.03</f>
        <v>10.92</v>
      </c>
      <c r="F2089" s="95">
        <v>800</v>
      </c>
      <c r="G2089" s="67">
        <f t="shared" ref="G2089:G2090" si="26">ROUND(E2089*F2089,2)</f>
        <v>8736</v>
      </c>
      <c r="H2089" s="73"/>
    </row>
    <row r="2090" spans="1:8" ht="17.2" customHeight="1" x14ac:dyDescent="0.3">
      <c r="A2090" s="63"/>
      <c r="B2090" s="523" t="s">
        <v>264</v>
      </c>
      <c r="C2090" s="524"/>
      <c r="D2090" s="93" t="s">
        <v>0</v>
      </c>
      <c r="E2090" s="94">
        <f>1.16*0.03</f>
        <v>3.4799999999999998E-2</v>
      </c>
      <c r="F2090" s="95">
        <v>70000</v>
      </c>
      <c r="G2090" s="67">
        <f t="shared" si="26"/>
        <v>2436</v>
      </c>
      <c r="H2090" s="73"/>
    </row>
    <row r="2091" spans="1:8" ht="17.2" customHeight="1" x14ac:dyDescent="0.3">
      <c r="A2091" s="63"/>
      <c r="B2091" s="523" t="s">
        <v>184</v>
      </c>
      <c r="C2091" s="524"/>
      <c r="D2091" s="93" t="s">
        <v>185</v>
      </c>
      <c r="E2091" s="94">
        <f>170*0.03</f>
        <v>5.0999999999999996</v>
      </c>
      <c r="F2091" s="95">
        <v>40</v>
      </c>
      <c r="G2091" s="67">
        <f>E2091*F2091</f>
        <v>204</v>
      </c>
      <c r="H2091" s="73"/>
    </row>
    <row r="2092" spans="1:8" ht="17.2" customHeight="1" x14ac:dyDescent="0.3">
      <c r="A2092" s="63"/>
      <c r="B2092" s="523" t="s">
        <v>183</v>
      </c>
      <c r="C2092" s="524"/>
      <c r="D2092" s="93" t="s">
        <v>0</v>
      </c>
      <c r="E2092" s="94">
        <v>1.6E-2</v>
      </c>
      <c r="F2092" s="95">
        <v>120000</v>
      </c>
      <c r="G2092" s="67">
        <f>E2092*F2092</f>
        <v>1920</v>
      </c>
      <c r="H2092" s="73"/>
    </row>
    <row r="2093" spans="1:8" ht="17.2" customHeight="1" x14ac:dyDescent="0.3">
      <c r="A2093" s="63"/>
      <c r="B2093" s="523" t="s">
        <v>462</v>
      </c>
      <c r="C2093" s="524"/>
      <c r="D2093" s="93" t="s">
        <v>233</v>
      </c>
      <c r="E2093" s="94">
        <v>2</v>
      </c>
      <c r="F2093" s="95">
        <v>8000</v>
      </c>
      <c r="G2093" s="67">
        <f>E2093*F2093</f>
        <v>16000</v>
      </c>
      <c r="H2093" s="73"/>
    </row>
    <row r="2094" spans="1:8" ht="17.2" customHeight="1" x14ac:dyDescent="0.3">
      <c r="A2094" s="63"/>
      <c r="B2094" s="523" t="s">
        <v>464</v>
      </c>
      <c r="C2094" s="524"/>
      <c r="D2094" s="93" t="s">
        <v>197</v>
      </c>
      <c r="E2094" s="94">
        <v>0.11</v>
      </c>
      <c r="F2094" s="95">
        <v>9500</v>
      </c>
      <c r="G2094" s="349">
        <f>E2094*F2094</f>
        <v>1045</v>
      </c>
      <c r="H2094" s="73"/>
    </row>
    <row r="2095" spans="1:8" ht="17.2" customHeight="1" x14ac:dyDescent="0.3">
      <c r="A2095" s="59" t="s">
        <v>46</v>
      </c>
      <c r="E2095" s="71" t="s">
        <v>47</v>
      </c>
      <c r="F2095" s="71"/>
      <c r="G2095" s="71"/>
      <c r="H2095" s="76">
        <f>ROUND(SUM(G2088:G2093),2)</f>
        <v>60496</v>
      </c>
    </row>
    <row r="2096" spans="1:8" ht="17.2" customHeight="1" x14ac:dyDescent="0.3">
      <c r="A2096" s="61" t="s">
        <v>48</v>
      </c>
      <c r="B2096" s="525" t="s">
        <v>49</v>
      </c>
      <c r="C2096" s="526"/>
      <c r="D2096" s="526"/>
      <c r="E2096" s="526"/>
      <c r="F2096" s="526"/>
      <c r="G2096" s="527"/>
      <c r="H2096" s="73"/>
    </row>
    <row r="2097" spans="1:8" ht="15.05" x14ac:dyDescent="0.3">
      <c r="A2097" s="62" t="s">
        <v>50</v>
      </c>
      <c r="B2097" s="62" t="s">
        <v>34</v>
      </c>
      <c r="C2097" s="62" t="s">
        <v>51</v>
      </c>
      <c r="D2097" s="62" t="s">
        <v>52</v>
      </c>
      <c r="E2097" s="74" t="s">
        <v>53</v>
      </c>
      <c r="F2097" s="64" t="s">
        <v>310</v>
      </c>
      <c r="G2097" s="64" t="s">
        <v>38</v>
      </c>
      <c r="H2097" s="73"/>
    </row>
    <row r="2098" spans="1:8" ht="17.2" customHeight="1" x14ac:dyDescent="0.3">
      <c r="A2098" s="62">
        <v>1</v>
      </c>
      <c r="B2098" s="63" t="s">
        <v>79</v>
      </c>
      <c r="C2098" s="77">
        <v>120000</v>
      </c>
      <c r="D2098" s="78">
        <v>0.75</v>
      </c>
      <c r="E2098" s="79">
        <f>+(A2098*C2098)+(A2098*C2098*D2098)</f>
        <v>210000</v>
      </c>
      <c r="F2098" s="75">
        <v>45</v>
      </c>
      <c r="G2098" s="65">
        <f>ROUND(E2098/(F2098),2)</f>
        <v>4666.67</v>
      </c>
      <c r="H2098" s="73"/>
    </row>
    <row r="2099" spans="1:8" ht="17.2" customHeight="1" x14ac:dyDescent="0.3">
      <c r="A2099" s="62">
        <v>4</v>
      </c>
      <c r="B2099" s="63" t="s">
        <v>80</v>
      </c>
      <c r="C2099" s="77">
        <v>70000</v>
      </c>
      <c r="D2099" s="78">
        <v>0.75</v>
      </c>
      <c r="E2099" s="79">
        <f>+(A2099*C2099)+(A2099*C2099*D2099)</f>
        <v>490000</v>
      </c>
      <c r="F2099" s="75">
        <v>45</v>
      </c>
      <c r="G2099" s="65">
        <f>ROUND(E2099/(F2099),2)</f>
        <v>10888.89</v>
      </c>
      <c r="H2099" s="73"/>
    </row>
    <row r="2100" spans="1:8" ht="17.2" customHeight="1" x14ac:dyDescent="0.3">
      <c r="A2100" s="63"/>
      <c r="B2100" s="63"/>
      <c r="C2100" s="63"/>
      <c r="D2100" s="63"/>
      <c r="E2100" s="64"/>
      <c r="F2100" s="64"/>
      <c r="G2100" s="64"/>
      <c r="H2100" s="73"/>
    </row>
    <row r="2101" spans="1:8" ht="17.2" customHeight="1" x14ac:dyDescent="0.3">
      <c r="A2101" s="70"/>
      <c r="E2101" s="71" t="s">
        <v>54</v>
      </c>
      <c r="F2101" s="71"/>
      <c r="G2101" s="71"/>
      <c r="H2101" s="72">
        <f>ROUND(SUM(G2098)+(G2099),2)</f>
        <v>15555.56</v>
      </c>
    </row>
    <row r="2102" spans="1:8" ht="17.2" customHeight="1" x14ac:dyDescent="0.3">
      <c r="A2102" s="61" t="s">
        <v>55</v>
      </c>
      <c r="B2102" s="525" t="s">
        <v>56</v>
      </c>
      <c r="C2102" s="526"/>
      <c r="D2102" s="526"/>
      <c r="E2102" s="526"/>
      <c r="F2102" s="526"/>
      <c r="G2102" s="527"/>
      <c r="H2102" s="73"/>
    </row>
    <row r="2103" spans="1:8" ht="17.2" customHeight="1" x14ac:dyDescent="0.3">
      <c r="A2103" s="63"/>
      <c r="B2103" s="63" t="s">
        <v>34</v>
      </c>
      <c r="C2103" s="62" t="s">
        <v>43</v>
      </c>
      <c r="D2103" s="62" t="s">
        <v>57</v>
      </c>
      <c r="E2103" s="62" t="s">
        <v>58</v>
      </c>
      <c r="F2103" s="62"/>
      <c r="G2103" s="64" t="s">
        <v>59</v>
      </c>
      <c r="H2103" s="73"/>
    </row>
    <row r="2104" spans="1:8" ht="17.2" customHeight="1" x14ac:dyDescent="0.3">
      <c r="A2104" s="63"/>
      <c r="B2104" s="63" t="s">
        <v>82</v>
      </c>
      <c r="C2104" s="80" t="s">
        <v>83</v>
      </c>
      <c r="D2104" s="63">
        <v>5.0000000000000001E-3</v>
      </c>
      <c r="E2104" s="64">
        <v>50000</v>
      </c>
      <c r="F2104" s="64"/>
      <c r="G2104" s="64">
        <f>D2104*E2104</f>
        <v>250</v>
      </c>
      <c r="H2104" s="73"/>
    </row>
    <row r="2105" spans="1:8" ht="17.2" customHeight="1" x14ac:dyDescent="0.3">
      <c r="A2105" s="63"/>
      <c r="B2105" s="63"/>
      <c r="C2105" s="81"/>
      <c r="D2105" s="63"/>
      <c r="E2105" s="64"/>
      <c r="F2105" s="64"/>
      <c r="G2105" s="64"/>
      <c r="H2105" s="73"/>
    </row>
    <row r="2106" spans="1:8" ht="17.2" customHeight="1" x14ac:dyDescent="0.3">
      <c r="A2106" s="63"/>
      <c r="B2106" s="63"/>
      <c r="C2106" s="63"/>
      <c r="D2106" s="63"/>
      <c r="E2106" s="64"/>
      <c r="F2106" s="64"/>
      <c r="G2106" s="64"/>
      <c r="H2106" s="73"/>
    </row>
    <row r="2107" spans="1:8" ht="17.2" customHeight="1" x14ac:dyDescent="0.3">
      <c r="A2107" s="70"/>
      <c r="E2107" s="71" t="s">
        <v>54</v>
      </c>
      <c r="F2107" s="71"/>
      <c r="G2107" s="71"/>
      <c r="H2107" s="119">
        <f>ROUND(SUM(G2104)+(G2105),0)</f>
        <v>250</v>
      </c>
    </row>
    <row r="2108" spans="1:8" ht="17.2" customHeight="1" x14ac:dyDescent="0.3">
      <c r="A2108" s="59"/>
      <c r="E2108" s="71"/>
      <c r="F2108" s="71"/>
      <c r="G2108" s="71"/>
      <c r="H2108" s="73"/>
    </row>
    <row r="2109" spans="1:8" ht="17.2" customHeight="1" x14ac:dyDescent="0.3">
      <c r="A2109" s="59"/>
      <c r="D2109" s="82" t="s">
        <v>60</v>
      </c>
      <c r="E2109" s="83"/>
      <c r="F2109" s="83"/>
      <c r="G2109" s="83"/>
      <c r="H2109" s="72">
        <f>ROUND(SUM(H2085:H2108),2)</f>
        <v>78857.119999999995</v>
      </c>
    </row>
    <row r="2110" spans="1:8" ht="17.2" customHeight="1" x14ac:dyDescent="0.3">
      <c r="A2110" s="59"/>
      <c r="E2110" s="71"/>
      <c r="F2110" s="71"/>
      <c r="G2110" s="71"/>
      <c r="H2110" s="73"/>
    </row>
    <row r="2111" spans="1:8" ht="17.2" customHeight="1" x14ac:dyDescent="0.3">
      <c r="A2111" s="61" t="s">
        <v>61</v>
      </c>
      <c r="B2111" s="525" t="s">
        <v>62</v>
      </c>
      <c r="C2111" s="526"/>
      <c r="D2111" s="526"/>
      <c r="E2111" s="526"/>
      <c r="F2111" s="526"/>
      <c r="G2111" s="527"/>
      <c r="H2111" s="73"/>
    </row>
    <row r="2112" spans="1:8" ht="17.2" customHeight="1" x14ac:dyDescent="0.3">
      <c r="A2112" s="62"/>
      <c r="B2112" s="518" t="s">
        <v>34</v>
      </c>
      <c r="C2112" s="519"/>
      <c r="D2112" s="518" t="s">
        <v>63</v>
      </c>
      <c r="E2112" s="519"/>
      <c r="F2112" s="528" t="s">
        <v>64</v>
      </c>
      <c r="G2112" s="529"/>
      <c r="H2112" s="73"/>
    </row>
    <row r="2113" spans="1:8" ht="17.2" customHeight="1" x14ac:dyDescent="0.3">
      <c r="A2113" s="63"/>
      <c r="B2113" s="518" t="s">
        <v>20</v>
      </c>
      <c r="C2113" s="519"/>
      <c r="D2113" s="520">
        <v>0.28000000000000003</v>
      </c>
      <c r="E2113" s="519"/>
      <c r="F2113" s="521">
        <f>+H2109*D2113</f>
        <v>22079.993600000002</v>
      </c>
      <c r="G2113" s="522"/>
      <c r="H2113" s="73"/>
    </row>
    <row r="2114" spans="1:8" ht="17.2" customHeight="1" x14ac:dyDescent="0.3">
      <c r="A2114" s="63"/>
      <c r="B2114" s="518" t="s">
        <v>21</v>
      </c>
      <c r="C2114" s="519"/>
      <c r="D2114" s="520">
        <v>0.01</v>
      </c>
      <c r="E2114" s="519"/>
      <c r="F2114" s="521">
        <f>+H2109*D2114</f>
        <v>788.57119999999998</v>
      </c>
      <c r="G2114" s="522"/>
      <c r="H2114" s="73"/>
    </row>
    <row r="2115" spans="1:8" ht="17.2" customHeight="1" x14ac:dyDescent="0.3">
      <c r="A2115" s="63"/>
      <c r="B2115" s="518" t="s">
        <v>22</v>
      </c>
      <c r="C2115" s="519"/>
      <c r="D2115" s="520">
        <v>0.03</v>
      </c>
      <c r="E2115" s="519"/>
      <c r="F2115" s="521">
        <f>+H2109*D2115</f>
        <v>2365.7135999999996</v>
      </c>
      <c r="G2115" s="522"/>
      <c r="H2115" s="73"/>
    </row>
    <row r="2116" spans="1:8" ht="17.2" customHeight="1" x14ac:dyDescent="0.3">
      <c r="A2116" s="63"/>
      <c r="B2116" s="518" t="s">
        <v>188</v>
      </c>
      <c r="C2116" s="519"/>
      <c r="D2116" s="520">
        <v>0.19</v>
      </c>
      <c r="E2116" s="519"/>
      <c r="F2116" s="521">
        <f>D2116*F2115</f>
        <v>449.4855839999999</v>
      </c>
      <c r="G2116" s="522"/>
      <c r="H2116" s="73"/>
    </row>
    <row r="2117" spans="1:8" ht="17.2" customHeight="1" x14ac:dyDescent="0.3">
      <c r="A2117" s="59"/>
      <c r="D2117" s="82" t="s">
        <v>65</v>
      </c>
      <c r="E2117" s="83"/>
      <c r="F2117" s="83"/>
      <c r="G2117" s="83"/>
      <c r="H2117" s="72">
        <f>SUM(F2113:G2116)</f>
        <v>25683.763983999997</v>
      </c>
    </row>
    <row r="2118" spans="1:8" ht="17.2" customHeight="1" x14ac:dyDescent="0.3">
      <c r="A2118" s="59"/>
      <c r="E2118" s="71"/>
      <c r="F2118" s="71"/>
      <c r="G2118" s="71"/>
      <c r="H2118" s="73"/>
    </row>
    <row r="2119" spans="1:8" ht="17.2" customHeight="1" x14ac:dyDescent="0.3">
      <c r="A2119" s="59"/>
      <c r="D2119" s="82" t="s">
        <v>66</v>
      </c>
      <c r="E2119" s="83"/>
      <c r="F2119" s="83"/>
      <c r="G2119" s="71"/>
      <c r="H2119" s="72">
        <f>H2109+H2117</f>
        <v>104540.88398399999</v>
      </c>
    </row>
    <row r="2120" spans="1:8" ht="17.2" customHeight="1" x14ac:dyDescent="0.3">
      <c r="A2120" s="59"/>
      <c r="D2120" s="82"/>
      <c r="E2120" s="83"/>
      <c r="F2120" s="83"/>
      <c r="G2120" s="71"/>
      <c r="H2120" s="73"/>
    </row>
    <row r="2121" spans="1:8" ht="17.2" customHeight="1" x14ac:dyDescent="0.3">
      <c r="A2121" s="59"/>
      <c r="E2121" s="83"/>
      <c r="F2121" s="83"/>
      <c r="G2121" s="71"/>
      <c r="H2121" s="73"/>
    </row>
    <row r="2122" spans="1:8" ht="17.2" customHeight="1" x14ac:dyDescent="0.3">
      <c r="A2122" s="84"/>
      <c r="B2122" s="85"/>
      <c r="E2122" s="46"/>
      <c r="F2122" s="47"/>
      <c r="G2122" s="48"/>
      <c r="H2122" s="73"/>
    </row>
    <row r="2123" spans="1:8" ht="17.2" customHeight="1" x14ac:dyDescent="0.3">
      <c r="A2123" s="86" t="s">
        <v>67</v>
      </c>
      <c r="B2123" s="50" t="s">
        <v>68</v>
      </c>
      <c r="E2123" s="49" t="s">
        <v>27</v>
      </c>
      <c r="F2123" s="50"/>
      <c r="G2123" s="50"/>
      <c r="H2123" s="87"/>
    </row>
    <row r="2124" spans="1:8" ht="17.2" customHeight="1" x14ac:dyDescent="0.3">
      <c r="A2124" s="88" t="s">
        <v>28</v>
      </c>
      <c r="B2124" s="50"/>
      <c r="E2124" s="50" t="str">
        <f ca="1">+$E$52</f>
        <v>SECRETARIO DE PLANEACION Y OBRAS PUBLICAS</v>
      </c>
      <c r="F2124" s="50"/>
      <c r="G2124" s="50"/>
      <c r="H2124" s="87"/>
    </row>
    <row r="2125" spans="1:8" ht="17.2" customHeight="1" x14ac:dyDescent="0.3">
      <c r="A2125" s="88"/>
      <c r="B2125" s="50"/>
      <c r="E2125" s="50" t="str">
        <f ca="1">+$E$53</f>
        <v>SAN MIGUEL - PUTUMAYO</v>
      </c>
      <c r="F2125" s="50"/>
      <c r="G2125" s="50"/>
      <c r="H2125" s="87"/>
    </row>
    <row r="2126" spans="1:8" ht="17.2" customHeight="1" x14ac:dyDescent="0.3">
      <c r="A2126" s="50"/>
      <c r="B2126" s="50"/>
      <c r="E2126" s="50"/>
      <c r="F2126" s="50"/>
      <c r="G2126" s="50"/>
      <c r="H2126" s="50"/>
    </row>
    <row r="2127" spans="1:8" ht="17.2" customHeight="1" x14ac:dyDescent="0.3">
      <c r="A2127" s="556"/>
      <c r="B2127" s="557"/>
      <c r="C2127" s="380" t="s">
        <v>2</v>
      </c>
      <c r="D2127" s="382" t="s">
        <v>3</v>
      </c>
      <c r="E2127" s="383"/>
      <c r="F2127" s="1">
        <v>103</v>
      </c>
      <c r="G2127" s="548"/>
      <c r="H2127" s="549"/>
    </row>
    <row r="2128" spans="1:8" ht="17.2" customHeight="1" x14ac:dyDescent="0.3">
      <c r="A2128" s="558"/>
      <c r="B2128" s="559"/>
      <c r="C2128" s="381"/>
      <c r="D2128" s="396" t="s">
        <v>4</v>
      </c>
      <c r="E2128" s="397"/>
      <c r="F2128" s="400">
        <v>51</v>
      </c>
      <c r="G2128" s="550"/>
      <c r="H2128" s="551"/>
    </row>
    <row r="2129" spans="1:8" ht="17.2" customHeight="1" x14ac:dyDescent="0.3">
      <c r="A2129" s="558"/>
      <c r="B2129" s="559"/>
      <c r="C2129" s="5" t="s">
        <v>5</v>
      </c>
      <c r="D2129" s="398"/>
      <c r="E2129" s="399"/>
      <c r="F2129" s="401"/>
      <c r="G2129" s="550"/>
      <c r="H2129" s="551"/>
    </row>
    <row r="2130" spans="1:8" ht="17.2" customHeight="1" x14ac:dyDescent="0.3">
      <c r="A2130" s="558"/>
      <c r="B2130" s="559"/>
      <c r="C2130" s="55" t="s">
        <v>6</v>
      </c>
      <c r="D2130" s="402" t="s">
        <v>7</v>
      </c>
      <c r="E2130" s="403"/>
      <c r="F2130" s="7">
        <v>1</v>
      </c>
      <c r="G2130" s="550"/>
      <c r="H2130" s="551"/>
    </row>
    <row r="2131" spans="1:8" ht="17.2" customHeight="1" x14ac:dyDescent="0.3">
      <c r="A2131" s="558"/>
      <c r="B2131" s="559"/>
      <c r="C2131" s="530" t="s">
        <v>8</v>
      </c>
      <c r="D2131" s="532" t="s">
        <v>9</v>
      </c>
      <c r="E2131" s="533"/>
      <c r="F2131" s="5" t="s">
        <v>10</v>
      </c>
      <c r="G2131" s="550"/>
      <c r="H2131" s="551"/>
    </row>
    <row r="2132" spans="1:8" ht="17.2" customHeight="1" x14ac:dyDescent="0.3">
      <c r="A2132" s="560"/>
      <c r="B2132" s="561"/>
      <c r="C2132" s="531"/>
      <c r="D2132" s="534"/>
      <c r="E2132" s="535"/>
      <c r="F2132" s="8">
        <f>$F$6</f>
        <v>45402</v>
      </c>
      <c r="G2132" s="552"/>
      <c r="H2132" s="553"/>
    </row>
    <row r="2133" spans="1:8" ht="18.2" customHeight="1" x14ac:dyDescent="0.3">
      <c r="A2133" s="341"/>
      <c r="B2133" s="344"/>
      <c r="C2133" s="345"/>
      <c r="D2133" s="346"/>
      <c r="E2133" s="346"/>
      <c r="F2133" s="347"/>
      <c r="G2133" s="348"/>
      <c r="H2133" s="342"/>
    </row>
    <row r="2134" spans="1:8" ht="18.2" customHeight="1" thickBot="1" x14ac:dyDescent="0.35">
      <c r="A2134" s="536"/>
      <c r="B2134" s="537"/>
      <c r="C2134" s="537"/>
      <c r="D2134" s="537"/>
      <c r="E2134" s="537"/>
      <c r="F2134" s="537"/>
      <c r="G2134" s="537"/>
      <c r="H2134" s="538"/>
    </row>
    <row r="2135" spans="1:8" ht="28.8" customHeight="1" thickBot="1" x14ac:dyDescent="0.35">
      <c r="A2135" s="92">
        <v>6.4</v>
      </c>
      <c r="B2135" s="539" t="str">
        <f>VLOOKUP(A2135,PRESUPUESTO!$A$14:$G$71,2,)</f>
        <v xml:space="preserve">aplicación de pañete interior y exterior </v>
      </c>
      <c r="C2135" s="540"/>
      <c r="D2135" s="540"/>
      <c r="E2135" s="540"/>
      <c r="F2135" s="541"/>
      <c r="G2135" s="57" t="s">
        <v>31</v>
      </c>
      <c r="H2135" s="58" t="str">
        <f>VLOOKUP(A2135,PRESUPUESTO!$A$14:$G$71,4,)</f>
        <v>M2</v>
      </c>
    </row>
    <row r="2136" spans="1:8" ht="17.2" customHeight="1" x14ac:dyDescent="0.3">
      <c r="A2136" s="59"/>
      <c r="H2136" s="60"/>
    </row>
    <row r="2137" spans="1:8" ht="17.2" customHeight="1" x14ac:dyDescent="0.3">
      <c r="A2137" s="61" t="s">
        <v>32</v>
      </c>
      <c r="B2137" s="525" t="s">
        <v>33</v>
      </c>
      <c r="C2137" s="526"/>
      <c r="D2137" s="526"/>
      <c r="E2137" s="526"/>
      <c r="F2137" s="526"/>
      <c r="G2137" s="527"/>
      <c r="H2137" s="60"/>
    </row>
    <row r="2138" spans="1:8" ht="26.85" customHeight="1" x14ac:dyDescent="0.3">
      <c r="A2138" s="62"/>
      <c r="B2138" s="518" t="s">
        <v>34</v>
      </c>
      <c r="C2138" s="519"/>
      <c r="D2138" s="62" t="s">
        <v>35</v>
      </c>
      <c r="E2138" s="62" t="s">
        <v>69</v>
      </c>
      <c r="F2138" s="62" t="s">
        <v>70</v>
      </c>
      <c r="G2138" s="62" t="s">
        <v>38</v>
      </c>
      <c r="H2138" s="60"/>
    </row>
    <row r="2139" spans="1:8" ht="17.2" customHeight="1" x14ac:dyDescent="0.3">
      <c r="A2139" s="63"/>
      <c r="B2139" s="542" t="s">
        <v>39</v>
      </c>
      <c r="C2139" s="543"/>
      <c r="D2139" s="63"/>
      <c r="E2139" s="64"/>
      <c r="F2139" s="64">
        <v>0.1</v>
      </c>
      <c r="G2139" s="65">
        <f>ROUND(H2156*F2139,2)</f>
        <v>1820</v>
      </c>
      <c r="H2139" s="66"/>
    </row>
    <row r="2140" spans="1:8" ht="17.2" customHeight="1" x14ac:dyDescent="0.3">
      <c r="A2140" s="63"/>
      <c r="B2140" s="542"/>
      <c r="C2140" s="543"/>
      <c r="D2140" s="62"/>
      <c r="E2140" s="68"/>
      <c r="F2140" s="64"/>
      <c r="G2140" s="69"/>
      <c r="H2140" s="66"/>
    </row>
    <row r="2141" spans="1:8" ht="17.2" customHeight="1" x14ac:dyDescent="0.3">
      <c r="A2141" s="70"/>
      <c r="E2141" s="71" t="s">
        <v>40</v>
      </c>
      <c r="F2141" s="71"/>
      <c r="G2141" s="71"/>
      <c r="H2141" s="72">
        <f>ROUND(SUM(G2139:G2140),2)</f>
        <v>1820</v>
      </c>
    </row>
    <row r="2142" spans="1:8" ht="28.15" customHeight="1" x14ac:dyDescent="0.3">
      <c r="A2142" s="61" t="s">
        <v>41</v>
      </c>
      <c r="B2142" s="525" t="s">
        <v>42</v>
      </c>
      <c r="C2142" s="526"/>
      <c r="D2142" s="526"/>
      <c r="E2142" s="526"/>
      <c r="F2142" s="526"/>
      <c r="G2142" s="527"/>
      <c r="H2142" s="73"/>
    </row>
    <row r="2143" spans="1:8" ht="17.2" customHeight="1" x14ac:dyDescent="0.3">
      <c r="A2143" s="62"/>
      <c r="B2143" s="518" t="s">
        <v>34</v>
      </c>
      <c r="C2143" s="519"/>
      <c r="D2143" s="62" t="s">
        <v>43</v>
      </c>
      <c r="E2143" s="74" t="s">
        <v>44</v>
      </c>
      <c r="F2143" s="74" t="s">
        <v>45</v>
      </c>
      <c r="G2143" s="74" t="s">
        <v>38</v>
      </c>
      <c r="H2143" s="73"/>
    </row>
    <row r="2144" spans="1:8" ht="17.2" customHeight="1" x14ac:dyDescent="0.3">
      <c r="A2144" s="63"/>
      <c r="B2144" s="554" t="s">
        <v>466</v>
      </c>
      <c r="C2144" s="555"/>
      <c r="D2144" s="93" t="s">
        <v>197</v>
      </c>
      <c r="E2144" s="94">
        <v>17</v>
      </c>
      <c r="F2144" s="95">
        <v>800</v>
      </c>
      <c r="G2144" s="120">
        <f>ROUND(E2144*F2144,2)</f>
        <v>13600</v>
      </c>
      <c r="H2144" s="73"/>
    </row>
    <row r="2145" spans="1:8" ht="17.2" customHeight="1" x14ac:dyDescent="0.3">
      <c r="A2145" s="63"/>
      <c r="B2145" s="523" t="s">
        <v>467</v>
      </c>
      <c r="C2145" s="524"/>
      <c r="D2145" s="93" t="s">
        <v>0</v>
      </c>
      <c r="E2145" s="94">
        <v>2.3E-2</v>
      </c>
      <c r="F2145" s="95">
        <v>70000</v>
      </c>
      <c r="G2145" s="67">
        <f t="shared" ref="G2145" si="27">ROUND(E2145*F2145,2)</f>
        <v>1610</v>
      </c>
      <c r="H2145" s="73"/>
    </row>
    <row r="2146" spans="1:8" ht="17.2" customHeight="1" x14ac:dyDescent="0.3">
      <c r="A2146" s="63"/>
      <c r="B2146" s="523" t="s">
        <v>468</v>
      </c>
      <c r="C2146" s="524"/>
      <c r="D2146" s="93" t="s">
        <v>185</v>
      </c>
      <c r="E2146" s="94">
        <v>6.2</v>
      </c>
      <c r="F2146" s="95">
        <v>40</v>
      </c>
      <c r="G2146" s="67">
        <f>E2146*F2146</f>
        <v>248</v>
      </c>
      <c r="H2146" s="73"/>
    </row>
    <row r="2147" spans="1:8" ht="17.2" customHeight="1" x14ac:dyDescent="0.3">
      <c r="A2147" s="63"/>
      <c r="B2147" s="523"/>
      <c r="C2147" s="524"/>
      <c r="D2147" s="93"/>
      <c r="E2147" s="94"/>
      <c r="F2147" s="95"/>
      <c r="G2147" s="67"/>
      <c r="H2147" s="73"/>
    </row>
    <row r="2148" spans="1:8" ht="17.2" customHeight="1" x14ac:dyDescent="0.3">
      <c r="A2148" s="63"/>
      <c r="B2148" s="523"/>
      <c r="C2148" s="524"/>
      <c r="D2148" s="93"/>
      <c r="E2148" s="94"/>
      <c r="F2148" s="95"/>
      <c r="G2148" s="67"/>
      <c r="H2148" s="73"/>
    </row>
    <row r="2149" spans="1:8" ht="17.2" customHeight="1" x14ac:dyDescent="0.3">
      <c r="A2149" s="63"/>
      <c r="B2149" s="523"/>
      <c r="C2149" s="524"/>
      <c r="D2149" s="93"/>
      <c r="E2149" s="94"/>
      <c r="F2149" s="95"/>
      <c r="G2149" s="67"/>
      <c r="H2149" s="73"/>
    </row>
    <row r="2150" spans="1:8" ht="17.2" customHeight="1" x14ac:dyDescent="0.3">
      <c r="A2150" s="70" t="s">
        <v>46</v>
      </c>
      <c r="E2150" s="71" t="s">
        <v>47</v>
      </c>
      <c r="F2150" s="71"/>
      <c r="G2150" s="71"/>
      <c r="H2150" s="76">
        <f>ROUND(SUM(G2144:G2149),2)</f>
        <v>15458</v>
      </c>
    </row>
    <row r="2151" spans="1:8" ht="15.05" x14ac:dyDescent="0.3">
      <c r="A2151" s="61" t="s">
        <v>48</v>
      </c>
      <c r="B2151" s="525" t="s">
        <v>49</v>
      </c>
      <c r="C2151" s="526"/>
      <c r="D2151" s="526"/>
      <c r="E2151" s="526"/>
      <c r="F2151" s="526"/>
      <c r="G2151" s="527"/>
      <c r="H2151" s="73"/>
    </row>
    <row r="2152" spans="1:8" ht="17.2" customHeight="1" x14ac:dyDescent="0.3">
      <c r="A2152" s="62" t="s">
        <v>50</v>
      </c>
      <c r="B2152" s="62" t="s">
        <v>34</v>
      </c>
      <c r="C2152" s="62" t="s">
        <v>51</v>
      </c>
      <c r="D2152" s="62" t="s">
        <v>52</v>
      </c>
      <c r="E2152" s="74" t="s">
        <v>53</v>
      </c>
      <c r="F2152" s="64" t="s">
        <v>186</v>
      </c>
      <c r="G2152" s="64" t="s">
        <v>38</v>
      </c>
      <c r="H2152" s="73"/>
    </row>
    <row r="2153" spans="1:8" ht="17.2" customHeight="1" x14ac:dyDescent="0.3">
      <c r="A2153" s="62">
        <v>1</v>
      </c>
      <c r="B2153" s="63" t="s">
        <v>79</v>
      </c>
      <c r="C2153" s="77">
        <v>120000</v>
      </c>
      <c r="D2153" s="78">
        <v>0.75</v>
      </c>
      <c r="E2153" s="79">
        <f>+(A2153*C2153)+(A2153*C2153*D2153)</f>
        <v>210000</v>
      </c>
      <c r="F2153" s="75">
        <v>25</v>
      </c>
      <c r="G2153" s="65">
        <f>ROUND(E2153/(F2153),2)</f>
        <v>8400</v>
      </c>
      <c r="H2153" s="73"/>
    </row>
    <row r="2154" spans="1:8" ht="17.2" customHeight="1" x14ac:dyDescent="0.3">
      <c r="A2154" s="62">
        <v>2</v>
      </c>
      <c r="B2154" s="63" t="s">
        <v>80</v>
      </c>
      <c r="C2154" s="77">
        <v>70000</v>
      </c>
      <c r="D2154" s="78">
        <v>0.75</v>
      </c>
      <c r="E2154" s="79">
        <f>+(A2154*C2154)+(A2154*C2154*D2154)</f>
        <v>245000</v>
      </c>
      <c r="F2154" s="75">
        <v>25</v>
      </c>
      <c r="G2154" s="65">
        <f>ROUND(E2154/(F2154),2)</f>
        <v>9800</v>
      </c>
      <c r="H2154" s="73"/>
    </row>
    <row r="2155" spans="1:8" ht="17.2" customHeight="1" x14ac:dyDescent="0.3">
      <c r="A2155" s="63"/>
      <c r="B2155" s="63"/>
      <c r="C2155" s="63"/>
      <c r="D2155" s="63"/>
      <c r="E2155" s="64"/>
      <c r="F2155" s="64"/>
      <c r="G2155" s="64"/>
      <c r="H2155" s="73"/>
    </row>
    <row r="2156" spans="1:8" ht="17.2" customHeight="1" x14ac:dyDescent="0.3">
      <c r="A2156" s="70"/>
      <c r="E2156" s="71" t="s">
        <v>54</v>
      </c>
      <c r="F2156" s="71"/>
      <c r="G2156" s="71"/>
      <c r="H2156" s="72">
        <f>ROUND(SUM(G2153)+(G2154),2)</f>
        <v>18200</v>
      </c>
    </row>
    <row r="2157" spans="1:8" ht="17.2" customHeight="1" x14ac:dyDescent="0.3">
      <c r="A2157" s="61" t="s">
        <v>55</v>
      </c>
      <c r="B2157" s="525" t="s">
        <v>56</v>
      </c>
      <c r="C2157" s="526"/>
      <c r="D2157" s="526"/>
      <c r="E2157" s="526"/>
      <c r="F2157" s="526"/>
      <c r="G2157" s="527"/>
      <c r="H2157" s="73"/>
    </row>
    <row r="2158" spans="1:8" ht="17.2" customHeight="1" x14ac:dyDescent="0.3">
      <c r="A2158" s="63"/>
      <c r="B2158" s="63" t="s">
        <v>34</v>
      </c>
      <c r="C2158" s="62" t="s">
        <v>43</v>
      </c>
      <c r="D2158" s="62" t="s">
        <v>57</v>
      </c>
      <c r="E2158" s="62" t="s">
        <v>58</v>
      </c>
      <c r="F2158" s="62"/>
      <c r="G2158" s="64" t="s">
        <v>59</v>
      </c>
      <c r="H2158" s="73"/>
    </row>
    <row r="2159" spans="1:8" ht="17.2" customHeight="1" x14ac:dyDescent="0.3">
      <c r="A2159" s="63"/>
      <c r="B2159" s="63" t="s">
        <v>82</v>
      </c>
      <c r="C2159" s="80" t="s">
        <v>83</v>
      </c>
      <c r="D2159" s="63">
        <v>5.0000000000000001E-3</v>
      </c>
      <c r="E2159" s="64">
        <v>50000</v>
      </c>
      <c r="F2159" s="64"/>
      <c r="G2159" s="64">
        <f>D2159*E2159</f>
        <v>250</v>
      </c>
      <c r="H2159" s="73"/>
    </row>
    <row r="2160" spans="1:8" ht="17.2" customHeight="1" x14ac:dyDescent="0.3">
      <c r="A2160" s="63"/>
      <c r="B2160" s="63"/>
      <c r="C2160" s="81"/>
      <c r="D2160" s="63"/>
      <c r="E2160" s="64"/>
      <c r="F2160" s="64"/>
      <c r="G2160" s="64"/>
      <c r="H2160" s="73"/>
    </row>
    <row r="2161" spans="1:8" ht="17.2" customHeight="1" x14ac:dyDescent="0.3">
      <c r="A2161" s="63"/>
      <c r="B2161" s="63"/>
      <c r="C2161" s="63"/>
      <c r="D2161" s="63"/>
      <c r="E2161" s="64"/>
      <c r="F2161" s="64"/>
      <c r="G2161" s="64"/>
      <c r="H2161" s="73"/>
    </row>
    <row r="2162" spans="1:8" ht="17.2" customHeight="1" x14ac:dyDescent="0.3">
      <c r="A2162" s="70"/>
      <c r="E2162" s="71" t="s">
        <v>54</v>
      </c>
      <c r="F2162" s="71"/>
      <c r="G2162" s="71"/>
      <c r="H2162" s="119">
        <f>ROUND(SUM(G2159)+(G2160),0)</f>
        <v>250</v>
      </c>
    </row>
    <row r="2163" spans="1:8" ht="17.2" customHeight="1" x14ac:dyDescent="0.3">
      <c r="A2163" s="59"/>
      <c r="E2163" s="71"/>
      <c r="F2163" s="71"/>
      <c r="G2163" s="71"/>
      <c r="H2163" s="73"/>
    </row>
    <row r="2164" spans="1:8" ht="17.2" customHeight="1" x14ac:dyDescent="0.3">
      <c r="A2164" s="59"/>
      <c r="D2164" s="82" t="s">
        <v>60</v>
      </c>
      <c r="E2164" s="83"/>
      <c r="F2164" s="83"/>
      <c r="G2164" s="83"/>
      <c r="H2164" s="72">
        <f>ROUND(SUM(H2141:H2163),2)</f>
        <v>35728</v>
      </c>
    </row>
    <row r="2165" spans="1:8" ht="17.2" customHeight="1" x14ac:dyDescent="0.3">
      <c r="A2165" s="59"/>
      <c r="E2165" s="71"/>
      <c r="F2165" s="71"/>
      <c r="G2165" s="71"/>
      <c r="H2165" s="73"/>
    </row>
    <row r="2166" spans="1:8" ht="17.2" customHeight="1" x14ac:dyDescent="0.3">
      <c r="A2166" s="61" t="s">
        <v>61</v>
      </c>
      <c r="B2166" s="525" t="s">
        <v>62</v>
      </c>
      <c r="C2166" s="526"/>
      <c r="D2166" s="526"/>
      <c r="E2166" s="526"/>
      <c r="F2166" s="526"/>
      <c r="G2166" s="527"/>
      <c r="H2166" s="73"/>
    </row>
    <row r="2167" spans="1:8" ht="17.2" customHeight="1" x14ac:dyDescent="0.3">
      <c r="A2167" s="62"/>
      <c r="B2167" s="518" t="s">
        <v>34</v>
      </c>
      <c r="C2167" s="519"/>
      <c r="D2167" s="518" t="s">
        <v>63</v>
      </c>
      <c r="E2167" s="519"/>
      <c r="F2167" s="528" t="s">
        <v>64</v>
      </c>
      <c r="G2167" s="529"/>
      <c r="H2167" s="73"/>
    </row>
    <row r="2168" spans="1:8" ht="17.2" customHeight="1" x14ac:dyDescent="0.3">
      <c r="A2168" s="63"/>
      <c r="B2168" s="518" t="s">
        <v>20</v>
      </c>
      <c r="C2168" s="519"/>
      <c r="D2168" s="520">
        <v>0.28000000000000003</v>
      </c>
      <c r="E2168" s="519"/>
      <c r="F2168" s="521">
        <f>+H2164*D2168</f>
        <v>10003.84</v>
      </c>
      <c r="G2168" s="522"/>
      <c r="H2168" s="73"/>
    </row>
    <row r="2169" spans="1:8" ht="17.2" customHeight="1" x14ac:dyDescent="0.3">
      <c r="A2169" s="63"/>
      <c r="B2169" s="518" t="s">
        <v>21</v>
      </c>
      <c r="C2169" s="519"/>
      <c r="D2169" s="520">
        <v>0.01</v>
      </c>
      <c r="E2169" s="519"/>
      <c r="F2169" s="521">
        <f>+H2164*D2169</f>
        <v>357.28000000000003</v>
      </c>
      <c r="G2169" s="522"/>
      <c r="H2169" s="73"/>
    </row>
    <row r="2170" spans="1:8" ht="17.2" customHeight="1" x14ac:dyDescent="0.3">
      <c r="A2170" s="63"/>
      <c r="B2170" s="518" t="s">
        <v>22</v>
      </c>
      <c r="C2170" s="519"/>
      <c r="D2170" s="520">
        <v>0.03</v>
      </c>
      <c r="E2170" s="519"/>
      <c r="F2170" s="521">
        <f>+H2164*D2170</f>
        <v>1071.8399999999999</v>
      </c>
      <c r="G2170" s="522"/>
      <c r="H2170" s="73"/>
    </row>
    <row r="2171" spans="1:8" ht="17.2" customHeight="1" x14ac:dyDescent="0.3">
      <c r="A2171" s="63"/>
      <c r="B2171" s="518" t="s">
        <v>188</v>
      </c>
      <c r="C2171" s="519"/>
      <c r="D2171" s="520">
        <v>0.19</v>
      </c>
      <c r="E2171" s="519"/>
      <c r="F2171" s="521">
        <f>D2171*F2170</f>
        <v>203.64959999999999</v>
      </c>
      <c r="G2171" s="522"/>
      <c r="H2171" s="73"/>
    </row>
    <row r="2172" spans="1:8" ht="17.2" customHeight="1" x14ac:dyDescent="0.3">
      <c r="A2172" s="59"/>
      <c r="D2172" s="82" t="s">
        <v>65</v>
      </c>
      <c r="E2172" s="83"/>
      <c r="F2172" s="83"/>
      <c r="G2172" s="83"/>
      <c r="H2172" s="72">
        <f>SUM(F2168:G2171)</f>
        <v>11636.609600000002</v>
      </c>
    </row>
    <row r="2173" spans="1:8" ht="17.2" customHeight="1" x14ac:dyDescent="0.3">
      <c r="A2173" s="59"/>
      <c r="E2173" s="71"/>
      <c r="F2173" s="71"/>
      <c r="G2173" s="71"/>
      <c r="H2173" s="73"/>
    </row>
    <row r="2174" spans="1:8" ht="17.2" customHeight="1" x14ac:dyDescent="0.3">
      <c r="A2174" s="59"/>
      <c r="D2174" s="82" t="s">
        <v>66</v>
      </c>
      <c r="E2174" s="83"/>
      <c r="F2174" s="83"/>
      <c r="G2174" s="71"/>
      <c r="H2174" s="72">
        <f>H2164+H2172</f>
        <v>47364.609600000003</v>
      </c>
    </row>
    <row r="2175" spans="1:8" ht="17.2" customHeight="1" x14ac:dyDescent="0.3">
      <c r="A2175" s="59"/>
      <c r="D2175" s="82"/>
      <c r="E2175" s="83"/>
      <c r="F2175" s="83"/>
      <c r="G2175" s="71"/>
      <c r="H2175" s="73"/>
    </row>
    <row r="2176" spans="1:8" ht="17.2" customHeight="1" x14ac:dyDescent="0.3">
      <c r="A2176" s="59"/>
      <c r="E2176" s="83"/>
      <c r="F2176" s="83"/>
      <c r="G2176" s="71"/>
      <c r="H2176" s="73"/>
    </row>
    <row r="2177" spans="1:8" ht="17.2" customHeight="1" x14ac:dyDescent="0.3">
      <c r="A2177" s="84"/>
      <c r="B2177" s="85"/>
      <c r="E2177" s="46"/>
      <c r="F2177" s="47"/>
      <c r="G2177" s="48"/>
      <c r="H2177" s="73"/>
    </row>
    <row r="2178" spans="1:8" ht="17.2" customHeight="1" x14ac:dyDescent="0.3">
      <c r="A2178" s="86" t="s">
        <v>67</v>
      </c>
      <c r="B2178" s="50" t="s">
        <v>68</v>
      </c>
      <c r="E2178" s="49" t="s">
        <v>27</v>
      </c>
      <c r="F2178" s="50"/>
      <c r="G2178" s="50"/>
      <c r="H2178" s="87"/>
    </row>
    <row r="2179" spans="1:8" ht="17.2" customHeight="1" x14ac:dyDescent="0.3">
      <c r="A2179" s="88" t="s">
        <v>28</v>
      </c>
      <c r="B2179" s="50"/>
      <c r="E2179" s="50" t="str">
        <f ca="1">+$E$52</f>
        <v>SECRETARIO DE PLANEACION Y OBRAS PUBLICAS</v>
      </c>
      <c r="F2179" s="50"/>
      <c r="G2179" s="50"/>
      <c r="H2179" s="87"/>
    </row>
    <row r="2180" spans="1:8" ht="17.2" customHeight="1" x14ac:dyDescent="0.3">
      <c r="A2180" s="88"/>
      <c r="B2180" s="50"/>
      <c r="E2180" s="50" t="str">
        <f ca="1">+$E$53</f>
        <v>SAN MIGUEL - PUTUMAYO</v>
      </c>
      <c r="F2180" s="50"/>
      <c r="G2180" s="50"/>
      <c r="H2180" s="87"/>
    </row>
    <row r="2181" spans="1:8" ht="17.2" customHeight="1" x14ac:dyDescent="0.3">
      <c r="A2181" s="50"/>
      <c r="B2181" s="50"/>
      <c r="E2181" s="50"/>
      <c r="F2181" s="50"/>
      <c r="G2181" s="50"/>
      <c r="H2181" s="50"/>
    </row>
    <row r="2182" spans="1:8" ht="17.2" customHeight="1" x14ac:dyDescent="0.3">
      <c r="A2182" s="556"/>
      <c r="B2182" s="557"/>
      <c r="C2182" s="380" t="s">
        <v>2</v>
      </c>
      <c r="D2182" s="382" t="s">
        <v>3</v>
      </c>
      <c r="E2182" s="383"/>
      <c r="F2182" s="1">
        <v>103</v>
      </c>
      <c r="G2182" s="548"/>
      <c r="H2182" s="549"/>
    </row>
    <row r="2183" spans="1:8" ht="17.2" customHeight="1" x14ac:dyDescent="0.3">
      <c r="A2183" s="558"/>
      <c r="B2183" s="559"/>
      <c r="C2183" s="381"/>
      <c r="D2183" s="396" t="s">
        <v>4</v>
      </c>
      <c r="E2183" s="397"/>
      <c r="F2183" s="400">
        <v>51</v>
      </c>
      <c r="G2183" s="550"/>
      <c r="H2183" s="551"/>
    </row>
    <row r="2184" spans="1:8" ht="17.2" customHeight="1" x14ac:dyDescent="0.3">
      <c r="A2184" s="558"/>
      <c r="B2184" s="559"/>
      <c r="C2184" s="5" t="s">
        <v>5</v>
      </c>
      <c r="D2184" s="398"/>
      <c r="E2184" s="399"/>
      <c r="F2184" s="401"/>
      <c r="G2184" s="550"/>
      <c r="H2184" s="551"/>
    </row>
    <row r="2185" spans="1:8" ht="17.2" customHeight="1" x14ac:dyDescent="0.3">
      <c r="A2185" s="558"/>
      <c r="B2185" s="559"/>
      <c r="C2185" s="55" t="s">
        <v>6</v>
      </c>
      <c r="D2185" s="402" t="s">
        <v>7</v>
      </c>
      <c r="E2185" s="403"/>
      <c r="F2185" s="7">
        <v>1</v>
      </c>
      <c r="G2185" s="550"/>
      <c r="H2185" s="551"/>
    </row>
    <row r="2186" spans="1:8" ht="17.2" customHeight="1" x14ac:dyDescent="0.3">
      <c r="A2186" s="558"/>
      <c r="B2186" s="559"/>
      <c r="C2186" s="530" t="s">
        <v>8</v>
      </c>
      <c r="D2186" s="532" t="s">
        <v>9</v>
      </c>
      <c r="E2186" s="533"/>
      <c r="F2186" s="5" t="s">
        <v>10</v>
      </c>
      <c r="G2186" s="550"/>
      <c r="H2186" s="551"/>
    </row>
    <row r="2187" spans="1:8" ht="18.2" customHeight="1" x14ac:dyDescent="0.3">
      <c r="A2187" s="560"/>
      <c r="B2187" s="561"/>
      <c r="C2187" s="531"/>
      <c r="D2187" s="534"/>
      <c r="E2187" s="535"/>
      <c r="F2187" s="8">
        <f>$F$6</f>
        <v>45402</v>
      </c>
      <c r="G2187" s="552"/>
      <c r="H2187" s="553"/>
    </row>
    <row r="2188" spans="1:8" ht="17.2" customHeight="1" thickBot="1" x14ac:dyDescent="0.35">
      <c r="A2188" s="536"/>
      <c r="B2188" s="537"/>
      <c r="C2188" s="537"/>
      <c r="D2188" s="537"/>
      <c r="E2188" s="537"/>
      <c r="F2188" s="537"/>
      <c r="G2188" s="537"/>
      <c r="H2188" s="538"/>
    </row>
    <row r="2189" spans="1:8" ht="27.5" customHeight="1" thickBot="1" x14ac:dyDescent="0.35">
      <c r="A2189" s="92">
        <v>6.5</v>
      </c>
      <c r="B2189" s="539" t="str">
        <f>VLOOKUP(A2189,PRESUPUESTO!$A$14:$G$71,2,)</f>
        <v xml:space="preserve">aplicación de estuco plastico </v>
      </c>
      <c r="C2189" s="540"/>
      <c r="D2189" s="540"/>
      <c r="E2189" s="540"/>
      <c r="F2189" s="541"/>
      <c r="G2189" s="57" t="s">
        <v>31</v>
      </c>
      <c r="H2189" s="58" t="str">
        <f>VLOOKUP(A2189,PRESUPUESTO!$A$14:$G$71,4,)</f>
        <v>M2</v>
      </c>
    </row>
    <row r="2190" spans="1:8" ht="17.2" customHeight="1" x14ac:dyDescent="0.3">
      <c r="A2190" s="59"/>
      <c r="H2190" s="60"/>
    </row>
    <row r="2191" spans="1:8" ht="26.85" customHeight="1" x14ac:dyDescent="0.3">
      <c r="A2191" s="61" t="s">
        <v>32</v>
      </c>
      <c r="B2191" s="525" t="s">
        <v>33</v>
      </c>
      <c r="C2191" s="526"/>
      <c r="D2191" s="526"/>
      <c r="E2191" s="526"/>
      <c r="F2191" s="526"/>
      <c r="G2191" s="527"/>
      <c r="H2191" s="60"/>
    </row>
    <row r="2192" spans="1:8" ht="17.2" customHeight="1" x14ac:dyDescent="0.3">
      <c r="A2192" s="62"/>
      <c r="B2192" s="518" t="s">
        <v>34</v>
      </c>
      <c r="C2192" s="519"/>
      <c r="D2192" s="62" t="s">
        <v>35</v>
      </c>
      <c r="E2192" s="62" t="s">
        <v>69</v>
      </c>
      <c r="F2192" s="62" t="s">
        <v>70</v>
      </c>
      <c r="G2192" s="62" t="s">
        <v>38</v>
      </c>
      <c r="H2192" s="60"/>
    </row>
    <row r="2193" spans="1:8" ht="17.2" customHeight="1" x14ac:dyDescent="0.3">
      <c r="A2193" s="63"/>
      <c r="B2193" s="542" t="s">
        <v>39</v>
      </c>
      <c r="C2193" s="543"/>
      <c r="D2193" s="63"/>
      <c r="E2193" s="64"/>
      <c r="F2193" s="64">
        <v>0.1</v>
      </c>
      <c r="G2193" s="65">
        <f>ROUND(H2210*F2193,2)</f>
        <v>1137.5</v>
      </c>
      <c r="H2193" s="66"/>
    </row>
    <row r="2194" spans="1:8" ht="17.2" customHeight="1" x14ac:dyDescent="0.3">
      <c r="A2194" s="63"/>
      <c r="B2194" s="542"/>
      <c r="C2194" s="543"/>
      <c r="D2194" s="62"/>
      <c r="E2194" s="68"/>
      <c r="F2194" s="64"/>
      <c r="G2194" s="69"/>
      <c r="H2194" s="66"/>
    </row>
    <row r="2195" spans="1:8" ht="28.15" customHeight="1" x14ac:dyDescent="0.3">
      <c r="A2195" s="70"/>
      <c r="E2195" s="71" t="s">
        <v>40</v>
      </c>
      <c r="F2195" s="71"/>
      <c r="G2195" s="71"/>
      <c r="H2195" s="72">
        <f>ROUND(SUM(G2193:G2194),2)</f>
        <v>1137.5</v>
      </c>
    </row>
    <row r="2196" spans="1:8" ht="17.2" customHeight="1" x14ac:dyDescent="0.3">
      <c r="A2196" s="61" t="s">
        <v>41</v>
      </c>
      <c r="B2196" s="525" t="s">
        <v>42</v>
      </c>
      <c r="C2196" s="526"/>
      <c r="D2196" s="526"/>
      <c r="E2196" s="526"/>
      <c r="F2196" s="526"/>
      <c r="G2196" s="527"/>
      <c r="H2196" s="73"/>
    </row>
    <row r="2197" spans="1:8" ht="17.2" customHeight="1" x14ac:dyDescent="0.3">
      <c r="A2197" s="62"/>
      <c r="B2197" s="518" t="s">
        <v>34</v>
      </c>
      <c r="C2197" s="519"/>
      <c r="D2197" s="62" t="s">
        <v>43</v>
      </c>
      <c r="E2197" s="74" t="s">
        <v>44</v>
      </c>
      <c r="F2197" s="74" t="s">
        <v>45</v>
      </c>
      <c r="G2197" s="74" t="s">
        <v>38</v>
      </c>
      <c r="H2197" s="73"/>
    </row>
    <row r="2198" spans="1:8" ht="17.2" customHeight="1" x14ac:dyDescent="0.3">
      <c r="A2198" s="63"/>
      <c r="B2198" s="554" t="s">
        <v>226</v>
      </c>
      <c r="C2198" s="555"/>
      <c r="D2198" s="93" t="s">
        <v>220</v>
      </c>
      <c r="E2198" s="94">
        <v>0.1</v>
      </c>
      <c r="F2198" s="95">
        <v>95500</v>
      </c>
      <c r="G2198" s="120">
        <f>ROUND(E2198*F2198,2)</f>
        <v>9550</v>
      </c>
      <c r="H2198" s="73"/>
    </row>
    <row r="2199" spans="1:8" ht="17.2" customHeight="1" x14ac:dyDescent="0.3">
      <c r="A2199" s="63"/>
      <c r="B2199" s="523" t="s">
        <v>227</v>
      </c>
      <c r="C2199" s="524"/>
      <c r="D2199" s="93" t="s">
        <v>218</v>
      </c>
      <c r="E2199" s="94">
        <v>0.05</v>
      </c>
      <c r="F2199" s="95">
        <v>2000</v>
      </c>
      <c r="G2199" s="67">
        <f t="shared" ref="G2199" si="28">ROUND(E2199*F2199,2)</f>
        <v>100</v>
      </c>
      <c r="H2199" s="73"/>
    </row>
    <row r="2200" spans="1:8" ht="17.2" customHeight="1" x14ac:dyDescent="0.3">
      <c r="A2200" s="63"/>
      <c r="B2200" s="523"/>
      <c r="C2200" s="524"/>
      <c r="D2200" s="93"/>
      <c r="E2200" s="94"/>
      <c r="F2200" s="95"/>
      <c r="G2200" s="67"/>
      <c r="H2200" s="73"/>
    </row>
    <row r="2201" spans="1:8" ht="17.2" customHeight="1" x14ac:dyDescent="0.3">
      <c r="A2201" s="63"/>
      <c r="B2201" s="523"/>
      <c r="C2201" s="524"/>
      <c r="D2201" s="93"/>
      <c r="E2201" s="94"/>
      <c r="F2201" s="95"/>
      <c r="G2201" s="67"/>
      <c r="H2201" s="73"/>
    </row>
    <row r="2202" spans="1:8" ht="17.2" customHeight="1" x14ac:dyDescent="0.3">
      <c r="A2202" s="63"/>
      <c r="B2202" s="523"/>
      <c r="C2202" s="524"/>
      <c r="D2202" s="93"/>
      <c r="E2202" s="94"/>
      <c r="F2202" s="95"/>
      <c r="G2202" s="67"/>
      <c r="H2202" s="73"/>
    </row>
    <row r="2203" spans="1:8" ht="17.2" customHeight="1" x14ac:dyDescent="0.3">
      <c r="A2203" s="63"/>
      <c r="B2203" s="523"/>
      <c r="C2203" s="524"/>
      <c r="D2203" s="93"/>
      <c r="E2203" s="94"/>
      <c r="F2203" s="95"/>
      <c r="G2203" s="67"/>
      <c r="H2203" s="73"/>
    </row>
    <row r="2204" spans="1:8" ht="13.75" customHeight="1" x14ac:dyDescent="0.3">
      <c r="A2204" s="70" t="s">
        <v>46</v>
      </c>
      <c r="E2204" s="71" t="s">
        <v>47</v>
      </c>
      <c r="F2204" s="71"/>
      <c r="G2204" s="71"/>
      <c r="H2204" s="76">
        <f>ROUND(SUM(G2198:G2203),2)</f>
        <v>9650</v>
      </c>
    </row>
    <row r="2205" spans="1:8" ht="17.2" customHeight="1" x14ac:dyDescent="0.3">
      <c r="A2205" s="61" t="s">
        <v>48</v>
      </c>
      <c r="B2205" s="525" t="s">
        <v>49</v>
      </c>
      <c r="C2205" s="526"/>
      <c r="D2205" s="526"/>
      <c r="E2205" s="526"/>
      <c r="F2205" s="526"/>
      <c r="G2205" s="527"/>
      <c r="H2205" s="73"/>
    </row>
    <row r="2206" spans="1:8" ht="17.2" customHeight="1" x14ac:dyDescent="0.3">
      <c r="A2206" s="62" t="s">
        <v>50</v>
      </c>
      <c r="B2206" s="62" t="s">
        <v>34</v>
      </c>
      <c r="C2206" s="62" t="s">
        <v>51</v>
      </c>
      <c r="D2206" s="62" t="s">
        <v>52</v>
      </c>
      <c r="E2206" s="74" t="s">
        <v>53</v>
      </c>
      <c r="F2206" s="64" t="s">
        <v>186</v>
      </c>
      <c r="G2206" s="64" t="s">
        <v>38</v>
      </c>
      <c r="H2206" s="73"/>
    </row>
    <row r="2207" spans="1:8" ht="17.2" customHeight="1" x14ac:dyDescent="0.3">
      <c r="A2207" s="62">
        <v>1</v>
      </c>
      <c r="B2207" s="63" t="s">
        <v>79</v>
      </c>
      <c r="C2207" s="77">
        <v>120000</v>
      </c>
      <c r="D2207" s="78">
        <v>0.75</v>
      </c>
      <c r="E2207" s="79">
        <f>+(A2207*C2207)+(A2207*C2207*D2207)</f>
        <v>210000</v>
      </c>
      <c r="F2207" s="75">
        <v>40</v>
      </c>
      <c r="G2207" s="65">
        <f>ROUND(E2207/(F2207),2)</f>
        <v>5250</v>
      </c>
      <c r="H2207" s="73"/>
    </row>
    <row r="2208" spans="1:8" ht="17.2" customHeight="1" x14ac:dyDescent="0.3">
      <c r="A2208" s="62">
        <v>2</v>
      </c>
      <c r="B2208" s="63" t="s">
        <v>80</v>
      </c>
      <c r="C2208" s="77">
        <v>70000</v>
      </c>
      <c r="D2208" s="78">
        <v>0.75</v>
      </c>
      <c r="E2208" s="79">
        <f>+(A2208*C2208)+(A2208*C2208*D2208)</f>
        <v>245000</v>
      </c>
      <c r="F2208" s="75">
        <v>40</v>
      </c>
      <c r="G2208" s="65">
        <f>ROUND(E2208/(F2208),2)</f>
        <v>6125</v>
      </c>
      <c r="H2208" s="73"/>
    </row>
    <row r="2209" spans="1:8" ht="17.2" customHeight="1" x14ac:dyDescent="0.3">
      <c r="A2209" s="63"/>
      <c r="B2209" s="63"/>
      <c r="C2209" s="63"/>
      <c r="D2209" s="63"/>
      <c r="E2209" s="64"/>
      <c r="F2209" s="64"/>
      <c r="G2209" s="64"/>
      <c r="H2209" s="73"/>
    </row>
    <row r="2210" spans="1:8" ht="17.2" customHeight="1" x14ac:dyDescent="0.3">
      <c r="A2210" s="70"/>
      <c r="E2210" s="71" t="s">
        <v>54</v>
      </c>
      <c r="F2210" s="71"/>
      <c r="G2210" s="71"/>
      <c r="H2210" s="72">
        <f>ROUND(SUM(G2207)+(G2208),2)</f>
        <v>11375</v>
      </c>
    </row>
    <row r="2211" spans="1:8" ht="17.2" customHeight="1" x14ac:dyDescent="0.3">
      <c r="A2211" s="61" t="s">
        <v>55</v>
      </c>
      <c r="B2211" s="525" t="s">
        <v>56</v>
      </c>
      <c r="C2211" s="526"/>
      <c r="D2211" s="526"/>
      <c r="E2211" s="526"/>
      <c r="F2211" s="526"/>
      <c r="G2211" s="527"/>
      <c r="H2211" s="73"/>
    </row>
    <row r="2212" spans="1:8" ht="17.2" customHeight="1" x14ac:dyDescent="0.3">
      <c r="A2212" s="63"/>
      <c r="B2212" s="63" t="s">
        <v>34</v>
      </c>
      <c r="C2212" s="62" t="s">
        <v>43</v>
      </c>
      <c r="D2212" s="62" t="s">
        <v>57</v>
      </c>
      <c r="E2212" s="62" t="s">
        <v>58</v>
      </c>
      <c r="F2212" s="62"/>
      <c r="G2212" s="64" t="s">
        <v>59</v>
      </c>
      <c r="H2212" s="73"/>
    </row>
    <row r="2213" spans="1:8" ht="17.2" customHeight="1" x14ac:dyDescent="0.3">
      <c r="A2213" s="63"/>
      <c r="B2213" s="63" t="s">
        <v>82</v>
      </c>
      <c r="C2213" s="80" t="s">
        <v>83</v>
      </c>
      <c r="D2213" s="63">
        <v>5.0000000000000001E-3</v>
      </c>
      <c r="E2213" s="64">
        <v>50000</v>
      </c>
      <c r="F2213" s="64"/>
      <c r="G2213" s="64">
        <f>D2213*E2213</f>
        <v>250</v>
      </c>
      <c r="H2213" s="73"/>
    </row>
    <row r="2214" spans="1:8" ht="17.2" customHeight="1" x14ac:dyDescent="0.3">
      <c r="A2214" s="63"/>
      <c r="B2214" s="63"/>
      <c r="C2214" s="81"/>
      <c r="D2214" s="63"/>
      <c r="E2214" s="64"/>
      <c r="F2214" s="64"/>
      <c r="G2214" s="64"/>
      <c r="H2214" s="73"/>
    </row>
    <row r="2215" spans="1:8" ht="17.2" customHeight="1" x14ac:dyDescent="0.3">
      <c r="A2215" s="63"/>
      <c r="B2215" s="63"/>
      <c r="C2215" s="63"/>
      <c r="D2215" s="63"/>
      <c r="E2215" s="64"/>
      <c r="F2215" s="64"/>
      <c r="G2215" s="64"/>
      <c r="H2215" s="73"/>
    </row>
    <row r="2216" spans="1:8" ht="17.2" customHeight="1" x14ac:dyDescent="0.3">
      <c r="A2216" s="70"/>
      <c r="E2216" s="71" t="s">
        <v>54</v>
      </c>
      <c r="F2216" s="71"/>
      <c r="G2216" s="71"/>
      <c r="H2216" s="119">
        <f>ROUND(SUM(G2213)+(G2214),0)</f>
        <v>250</v>
      </c>
    </row>
    <row r="2217" spans="1:8" ht="17.2" customHeight="1" x14ac:dyDescent="0.3">
      <c r="A2217" s="59"/>
      <c r="E2217" s="71"/>
      <c r="F2217" s="71"/>
      <c r="G2217" s="71"/>
      <c r="H2217" s="73"/>
    </row>
    <row r="2218" spans="1:8" ht="17.2" customHeight="1" x14ac:dyDescent="0.3">
      <c r="A2218" s="59"/>
      <c r="D2218" s="82" t="s">
        <v>60</v>
      </c>
      <c r="E2218" s="83"/>
      <c r="F2218" s="83"/>
      <c r="G2218" s="83"/>
      <c r="H2218" s="72">
        <f>ROUND(SUM(H2195:H2217),2)</f>
        <v>22412.5</v>
      </c>
    </row>
    <row r="2219" spans="1:8" ht="17.2" customHeight="1" x14ac:dyDescent="0.3">
      <c r="A2219" s="59"/>
      <c r="E2219" s="71"/>
      <c r="F2219" s="71"/>
      <c r="G2219" s="71"/>
      <c r="H2219" s="73"/>
    </row>
    <row r="2220" spans="1:8" ht="17.2" customHeight="1" x14ac:dyDescent="0.3">
      <c r="A2220" s="61" t="s">
        <v>61</v>
      </c>
      <c r="B2220" s="525" t="s">
        <v>62</v>
      </c>
      <c r="C2220" s="526"/>
      <c r="D2220" s="526"/>
      <c r="E2220" s="526"/>
      <c r="F2220" s="526"/>
      <c r="G2220" s="527"/>
      <c r="H2220" s="73"/>
    </row>
    <row r="2221" spans="1:8" ht="17.2" customHeight="1" x14ac:dyDescent="0.3">
      <c r="A2221" s="62"/>
      <c r="B2221" s="518" t="s">
        <v>34</v>
      </c>
      <c r="C2221" s="519"/>
      <c r="D2221" s="518" t="s">
        <v>63</v>
      </c>
      <c r="E2221" s="519"/>
      <c r="F2221" s="528" t="s">
        <v>64</v>
      </c>
      <c r="G2221" s="529"/>
      <c r="H2221" s="73"/>
    </row>
    <row r="2222" spans="1:8" ht="17.2" customHeight="1" x14ac:dyDescent="0.3">
      <c r="A2222" s="63"/>
      <c r="B2222" s="518" t="s">
        <v>20</v>
      </c>
      <c r="C2222" s="519"/>
      <c r="D2222" s="520">
        <v>0.28000000000000003</v>
      </c>
      <c r="E2222" s="519"/>
      <c r="F2222" s="521">
        <f>+H2218*D2222</f>
        <v>6275.5000000000009</v>
      </c>
      <c r="G2222" s="522"/>
      <c r="H2222" s="73"/>
    </row>
    <row r="2223" spans="1:8" ht="17.2" customHeight="1" x14ac:dyDescent="0.3">
      <c r="A2223" s="63"/>
      <c r="B2223" s="518" t="s">
        <v>21</v>
      </c>
      <c r="C2223" s="519"/>
      <c r="D2223" s="520">
        <v>0.01</v>
      </c>
      <c r="E2223" s="519"/>
      <c r="F2223" s="521">
        <f>+H2218*D2223</f>
        <v>224.125</v>
      </c>
      <c r="G2223" s="522"/>
      <c r="H2223" s="73"/>
    </row>
    <row r="2224" spans="1:8" ht="17.2" customHeight="1" x14ac:dyDescent="0.3">
      <c r="A2224" s="63"/>
      <c r="B2224" s="518" t="s">
        <v>22</v>
      </c>
      <c r="C2224" s="519"/>
      <c r="D2224" s="520">
        <v>0.03</v>
      </c>
      <c r="E2224" s="519"/>
      <c r="F2224" s="521">
        <f>+H2218*D2224</f>
        <v>672.375</v>
      </c>
      <c r="G2224" s="522"/>
      <c r="H2224" s="73"/>
    </row>
    <row r="2225" spans="1:8" ht="17.2" customHeight="1" x14ac:dyDescent="0.3">
      <c r="A2225" s="63"/>
      <c r="B2225" s="518" t="s">
        <v>188</v>
      </c>
      <c r="C2225" s="519"/>
      <c r="D2225" s="520">
        <v>0.19</v>
      </c>
      <c r="E2225" s="519"/>
      <c r="F2225" s="521">
        <f>D2225*F2224</f>
        <v>127.75125</v>
      </c>
      <c r="G2225" s="522"/>
      <c r="H2225" s="73"/>
    </row>
    <row r="2226" spans="1:8" ht="17.2" customHeight="1" x14ac:dyDescent="0.3">
      <c r="A2226" s="59"/>
      <c r="D2226" s="82" t="s">
        <v>65</v>
      </c>
      <c r="E2226" s="83"/>
      <c r="F2226" s="83"/>
      <c r="G2226" s="83"/>
      <c r="H2226" s="72">
        <f>SUM(F2222:G2225)</f>
        <v>7299.7512500000012</v>
      </c>
    </row>
    <row r="2227" spans="1:8" ht="17.2" customHeight="1" x14ac:dyDescent="0.3">
      <c r="A2227" s="59"/>
      <c r="E2227" s="71"/>
      <c r="F2227" s="71"/>
      <c r="G2227" s="71"/>
      <c r="H2227" s="73"/>
    </row>
    <row r="2228" spans="1:8" ht="17.2" customHeight="1" x14ac:dyDescent="0.3">
      <c r="A2228" s="59"/>
      <c r="D2228" s="82" t="s">
        <v>66</v>
      </c>
      <c r="E2228" s="83"/>
      <c r="F2228" s="83"/>
      <c r="G2228" s="71"/>
      <c r="H2228" s="72">
        <f>H2218+H2226</f>
        <v>29712.251250000001</v>
      </c>
    </row>
    <row r="2229" spans="1:8" ht="17.2" customHeight="1" x14ac:dyDescent="0.3">
      <c r="A2229" s="59"/>
      <c r="D2229" s="82"/>
      <c r="E2229" s="83"/>
      <c r="F2229" s="83"/>
      <c r="G2229" s="71"/>
      <c r="H2229" s="73"/>
    </row>
    <row r="2230" spans="1:8" ht="17.2" customHeight="1" x14ac:dyDescent="0.3">
      <c r="A2230" s="59"/>
      <c r="E2230" s="83"/>
      <c r="F2230" s="83"/>
      <c r="G2230" s="71"/>
      <c r="H2230" s="73"/>
    </row>
    <row r="2231" spans="1:8" ht="17.2" customHeight="1" x14ac:dyDescent="0.3">
      <c r="A2231" s="84"/>
      <c r="B2231" s="85"/>
      <c r="E2231" s="46"/>
      <c r="F2231" s="47"/>
      <c r="G2231" s="48"/>
      <c r="H2231" s="73"/>
    </row>
    <row r="2232" spans="1:8" ht="17.2" customHeight="1" x14ac:dyDescent="0.3">
      <c r="A2232" s="86" t="s">
        <v>67</v>
      </c>
      <c r="B2232" s="50" t="s">
        <v>68</v>
      </c>
      <c r="E2232" s="49" t="s">
        <v>27</v>
      </c>
      <c r="F2232" s="50"/>
      <c r="G2232" s="50"/>
      <c r="H2232" s="87"/>
    </row>
    <row r="2233" spans="1:8" ht="17.2" customHeight="1" x14ac:dyDescent="0.3">
      <c r="A2233" s="88" t="s">
        <v>28</v>
      </c>
      <c r="B2233" s="50"/>
      <c r="E2233" s="50" t="str">
        <f ca="1">+$E$52</f>
        <v>SECRETARIO DE PLANEACION Y OBRAS PUBLICAS</v>
      </c>
      <c r="F2233" s="50"/>
      <c r="G2233" s="50"/>
      <c r="H2233" s="87"/>
    </row>
    <row r="2234" spans="1:8" ht="17.2" customHeight="1" x14ac:dyDescent="0.3">
      <c r="A2234" s="89"/>
      <c r="B2234" s="90"/>
      <c r="C2234" s="85"/>
      <c r="D2234" s="85"/>
      <c r="E2234" s="90" t="str">
        <f ca="1">+$E$53</f>
        <v>SAN MIGUEL - PUTUMAYO</v>
      </c>
      <c r="F2234" s="90"/>
      <c r="G2234" s="90"/>
      <c r="H2234" s="91"/>
    </row>
    <row r="2235" spans="1:8" ht="17.2" customHeight="1" x14ac:dyDescent="0.3">
      <c r="A2235" s="556"/>
      <c r="B2235" s="557"/>
      <c r="C2235" s="380" t="s">
        <v>2</v>
      </c>
      <c r="D2235" s="382" t="s">
        <v>3</v>
      </c>
      <c r="E2235" s="383"/>
      <c r="F2235" s="1">
        <v>103</v>
      </c>
      <c r="G2235" s="548"/>
      <c r="H2235" s="549"/>
    </row>
    <row r="2236" spans="1:8" ht="17.2" customHeight="1" x14ac:dyDescent="0.3">
      <c r="A2236" s="558"/>
      <c r="B2236" s="559"/>
      <c r="C2236" s="381"/>
      <c r="D2236" s="396" t="s">
        <v>4</v>
      </c>
      <c r="E2236" s="397"/>
      <c r="F2236" s="400">
        <v>51</v>
      </c>
      <c r="G2236" s="550"/>
      <c r="H2236" s="551"/>
    </row>
    <row r="2237" spans="1:8" ht="17.2" customHeight="1" x14ac:dyDescent="0.3">
      <c r="A2237" s="558"/>
      <c r="B2237" s="559"/>
      <c r="C2237" s="5" t="s">
        <v>5</v>
      </c>
      <c r="D2237" s="398"/>
      <c r="E2237" s="399"/>
      <c r="F2237" s="401"/>
      <c r="G2237" s="550"/>
      <c r="H2237" s="551"/>
    </row>
    <row r="2238" spans="1:8" ht="17.2" customHeight="1" x14ac:dyDescent="0.3">
      <c r="A2238" s="558"/>
      <c r="B2238" s="559"/>
      <c r="C2238" s="55" t="s">
        <v>6</v>
      </c>
      <c r="D2238" s="402" t="s">
        <v>7</v>
      </c>
      <c r="E2238" s="403"/>
      <c r="F2238" s="7">
        <v>1</v>
      </c>
      <c r="G2238" s="550"/>
      <c r="H2238" s="551"/>
    </row>
    <row r="2239" spans="1:8" ht="17.2" customHeight="1" x14ac:dyDescent="0.3">
      <c r="A2239" s="558"/>
      <c r="B2239" s="559"/>
      <c r="C2239" s="530" t="s">
        <v>8</v>
      </c>
      <c r="D2239" s="532" t="s">
        <v>9</v>
      </c>
      <c r="E2239" s="533"/>
      <c r="F2239" s="5" t="s">
        <v>10</v>
      </c>
      <c r="G2239" s="550"/>
      <c r="H2239" s="551"/>
    </row>
    <row r="2240" spans="1:8" ht="18.2" customHeight="1" x14ac:dyDescent="0.3">
      <c r="A2240" s="560"/>
      <c r="B2240" s="561"/>
      <c r="C2240" s="531"/>
      <c r="D2240" s="534"/>
      <c r="E2240" s="535"/>
      <c r="F2240" s="8">
        <f>$F$6</f>
        <v>45402</v>
      </c>
      <c r="G2240" s="552"/>
      <c r="H2240" s="553"/>
    </row>
    <row r="2241" spans="1:8" ht="17.2" customHeight="1" thickBot="1" x14ac:dyDescent="0.35">
      <c r="A2241" s="536"/>
      <c r="B2241" s="537"/>
      <c r="C2241" s="537"/>
      <c r="D2241" s="537"/>
      <c r="E2241" s="537"/>
      <c r="F2241" s="537"/>
      <c r="G2241" s="537"/>
      <c r="H2241" s="538"/>
    </row>
    <row r="2242" spans="1:8" ht="26.85" customHeight="1" thickBot="1" x14ac:dyDescent="0.35">
      <c r="A2242" s="92">
        <v>6.6</v>
      </c>
      <c r="B2242" s="539" t="str">
        <f>VLOOKUP(A2242,PRESUPUESTO!$A$14:$G$71,2,)</f>
        <v xml:space="preserve">aplicación de pintura en acabado de muros </v>
      </c>
      <c r="C2242" s="540"/>
      <c r="D2242" s="540"/>
      <c r="E2242" s="540"/>
      <c r="F2242" s="541"/>
      <c r="G2242" s="57" t="s">
        <v>31</v>
      </c>
      <c r="H2242" s="58" t="str">
        <f>VLOOKUP(A2242,PRESUPUESTO!$A$14:$G$71,4,)</f>
        <v>M2</v>
      </c>
    </row>
    <row r="2243" spans="1:8" ht="17.2" customHeight="1" x14ac:dyDescent="0.3">
      <c r="A2243" s="59"/>
      <c r="H2243" s="60"/>
    </row>
    <row r="2244" spans="1:8" ht="26.85" customHeight="1" x14ac:dyDescent="0.3">
      <c r="A2244" s="61" t="s">
        <v>32</v>
      </c>
      <c r="B2244" s="525" t="s">
        <v>33</v>
      </c>
      <c r="C2244" s="526"/>
      <c r="D2244" s="526"/>
      <c r="E2244" s="526"/>
      <c r="F2244" s="526"/>
      <c r="G2244" s="527"/>
      <c r="H2244" s="60"/>
    </row>
    <row r="2245" spans="1:8" ht="17.2" customHeight="1" x14ac:dyDescent="0.3">
      <c r="A2245" s="62"/>
      <c r="B2245" s="518" t="s">
        <v>34</v>
      </c>
      <c r="C2245" s="519"/>
      <c r="D2245" s="62" t="s">
        <v>35</v>
      </c>
      <c r="E2245" s="62" t="s">
        <v>69</v>
      </c>
      <c r="F2245" s="62" t="s">
        <v>70</v>
      </c>
      <c r="G2245" s="62" t="s">
        <v>38</v>
      </c>
      <c r="H2245" s="60"/>
    </row>
    <row r="2246" spans="1:8" ht="17.2" customHeight="1" x14ac:dyDescent="0.3">
      <c r="A2246" s="63"/>
      <c r="B2246" s="542" t="s">
        <v>39</v>
      </c>
      <c r="C2246" s="543"/>
      <c r="D2246" s="63"/>
      <c r="E2246" s="64"/>
      <c r="F2246" s="64">
        <v>0.1</v>
      </c>
      <c r="G2246" s="65">
        <f>ROUND(H2263*F2246,2)</f>
        <v>827.27</v>
      </c>
      <c r="H2246" s="66"/>
    </row>
    <row r="2247" spans="1:8" ht="17.2" customHeight="1" x14ac:dyDescent="0.3">
      <c r="A2247" s="63"/>
      <c r="B2247" s="542"/>
      <c r="C2247" s="543"/>
      <c r="D2247" s="62"/>
      <c r="E2247" s="68"/>
      <c r="F2247" s="64"/>
      <c r="G2247" s="69"/>
      <c r="H2247" s="66"/>
    </row>
    <row r="2248" spans="1:8" ht="28.15" customHeight="1" x14ac:dyDescent="0.3">
      <c r="A2248" s="70"/>
      <c r="E2248" s="71" t="s">
        <v>40</v>
      </c>
      <c r="F2248" s="71"/>
      <c r="G2248" s="71"/>
      <c r="H2248" s="72">
        <f>ROUND(SUM(G2246:G2247),2)</f>
        <v>827.27</v>
      </c>
    </row>
    <row r="2249" spans="1:8" ht="17.2" customHeight="1" x14ac:dyDescent="0.3">
      <c r="A2249" s="61" t="s">
        <v>41</v>
      </c>
      <c r="B2249" s="525" t="s">
        <v>42</v>
      </c>
      <c r="C2249" s="526"/>
      <c r="D2249" s="526"/>
      <c r="E2249" s="526"/>
      <c r="F2249" s="526"/>
      <c r="G2249" s="527"/>
      <c r="H2249" s="73"/>
    </row>
    <row r="2250" spans="1:8" ht="17.2" customHeight="1" x14ac:dyDescent="0.3">
      <c r="A2250" s="62"/>
      <c r="B2250" s="518" t="s">
        <v>34</v>
      </c>
      <c r="C2250" s="519"/>
      <c r="D2250" s="63" t="s">
        <v>43</v>
      </c>
      <c r="E2250" s="74" t="s">
        <v>44</v>
      </c>
      <c r="F2250" s="74" t="s">
        <v>45</v>
      </c>
      <c r="G2250" s="74" t="s">
        <v>38</v>
      </c>
      <c r="H2250" s="73"/>
    </row>
    <row r="2251" spans="1:8" ht="17.2" customHeight="1" x14ac:dyDescent="0.3">
      <c r="A2251" s="63"/>
      <c r="B2251" s="544" t="s">
        <v>265</v>
      </c>
      <c r="C2251" s="545"/>
      <c r="D2251" s="270" t="s">
        <v>208</v>
      </c>
      <c r="E2251" s="94">
        <v>0.04</v>
      </c>
      <c r="F2251" s="95">
        <v>210000</v>
      </c>
      <c r="G2251" s="120">
        <f>ROUND(E2251*F2251,2)</f>
        <v>8400</v>
      </c>
      <c r="H2251" s="73"/>
    </row>
    <row r="2252" spans="1:8" ht="17.2" customHeight="1" x14ac:dyDescent="0.3">
      <c r="A2252" s="63"/>
      <c r="B2252" s="546" t="s">
        <v>266</v>
      </c>
      <c r="C2252" s="547"/>
      <c r="D2252" s="270" t="s">
        <v>212</v>
      </c>
      <c r="E2252" s="94">
        <v>0.05</v>
      </c>
      <c r="F2252" s="95">
        <v>15000</v>
      </c>
      <c r="G2252" s="67">
        <f t="shared" ref="G2252" si="29">ROUND(E2252*F2252,2)</f>
        <v>750</v>
      </c>
      <c r="H2252" s="73"/>
    </row>
    <row r="2253" spans="1:8" ht="17.2" customHeight="1" x14ac:dyDescent="0.3">
      <c r="A2253" s="63"/>
      <c r="B2253" s="546"/>
      <c r="C2253" s="547"/>
      <c r="D2253" s="270"/>
      <c r="E2253" s="94"/>
      <c r="F2253" s="95"/>
      <c r="G2253" s="67"/>
      <c r="H2253" s="73"/>
    </row>
    <row r="2254" spans="1:8" ht="17.2" customHeight="1" x14ac:dyDescent="0.3">
      <c r="A2254" s="63"/>
      <c r="B2254" s="523"/>
      <c r="C2254" s="524"/>
      <c r="D2254" s="93"/>
      <c r="E2254" s="94"/>
      <c r="F2254" s="95"/>
      <c r="G2254" s="67"/>
      <c r="H2254" s="73"/>
    </row>
    <row r="2255" spans="1:8" ht="17.2" customHeight="1" x14ac:dyDescent="0.3">
      <c r="A2255" s="63"/>
      <c r="B2255" s="523"/>
      <c r="C2255" s="524"/>
      <c r="D2255" s="93"/>
      <c r="E2255" s="94"/>
      <c r="F2255" s="95"/>
      <c r="G2255" s="67"/>
      <c r="H2255" s="73"/>
    </row>
    <row r="2256" spans="1:8" ht="17.2" customHeight="1" x14ac:dyDescent="0.3">
      <c r="A2256" s="63"/>
      <c r="B2256" s="523"/>
      <c r="C2256" s="524"/>
      <c r="D2256" s="93"/>
      <c r="E2256" s="94"/>
      <c r="F2256" s="95"/>
      <c r="G2256" s="67"/>
      <c r="H2256" s="73"/>
    </row>
    <row r="2257" spans="1:8" ht="13.75" customHeight="1" x14ac:dyDescent="0.3">
      <c r="A2257" s="70" t="s">
        <v>46</v>
      </c>
      <c r="E2257" s="71" t="s">
        <v>47</v>
      </c>
      <c r="F2257" s="71"/>
      <c r="G2257" s="71"/>
      <c r="H2257" s="76">
        <f>ROUND(SUM(G2251:G2256),2)</f>
        <v>9150</v>
      </c>
    </row>
    <row r="2258" spans="1:8" ht="17.2" customHeight="1" x14ac:dyDescent="0.3">
      <c r="A2258" s="61" t="s">
        <v>48</v>
      </c>
      <c r="B2258" s="525" t="s">
        <v>49</v>
      </c>
      <c r="C2258" s="526"/>
      <c r="D2258" s="526"/>
      <c r="E2258" s="526"/>
      <c r="F2258" s="526"/>
      <c r="G2258" s="527"/>
      <c r="H2258" s="73"/>
    </row>
    <row r="2259" spans="1:8" ht="17.2" customHeight="1" x14ac:dyDescent="0.3">
      <c r="A2259" s="62" t="s">
        <v>50</v>
      </c>
      <c r="B2259" s="62" t="s">
        <v>34</v>
      </c>
      <c r="C2259" s="62" t="s">
        <v>51</v>
      </c>
      <c r="D2259" s="62" t="s">
        <v>52</v>
      </c>
      <c r="E2259" s="74" t="s">
        <v>53</v>
      </c>
      <c r="F2259" s="64" t="s">
        <v>186</v>
      </c>
      <c r="G2259" s="64" t="s">
        <v>38</v>
      </c>
      <c r="H2259" s="73"/>
    </row>
    <row r="2260" spans="1:8" ht="17.2" customHeight="1" x14ac:dyDescent="0.3">
      <c r="A2260" s="62">
        <v>1</v>
      </c>
      <c r="B2260" s="63" t="s">
        <v>79</v>
      </c>
      <c r="C2260" s="77">
        <v>120000</v>
      </c>
      <c r="D2260" s="78">
        <v>0.75</v>
      </c>
      <c r="E2260" s="79">
        <f>+(A2260*C2260)+(A2260*C2260*D2260)</f>
        <v>210000</v>
      </c>
      <c r="F2260" s="75">
        <v>55</v>
      </c>
      <c r="G2260" s="65">
        <f>ROUND(E2260/(F2260),2)</f>
        <v>3818.18</v>
      </c>
      <c r="H2260" s="73"/>
    </row>
    <row r="2261" spans="1:8" ht="17.2" customHeight="1" x14ac:dyDescent="0.3">
      <c r="A2261" s="62">
        <v>2</v>
      </c>
      <c r="B2261" s="63" t="s">
        <v>80</v>
      </c>
      <c r="C2261" s="77">
        <v>70000</v>
      </c>
      <c r="D2261" s="78">
        <v>0.75</v>
      </c>
      <c r="E2261" s="79">
        <f>+(A2261*C2261)+(A2261*C2261*D2261)</f>
        <v>245000</v>
      </c>
      <c r="F2261" s="75">
        <v>55</v>
      </c>
      <c r="G2261" s="65">
        <f>ROUND(E2261/(F2261),2)</f>
        <v>4454.55</v>
      </c>
      <c r="H2261" s="73"/>
    </row>
    <row r="2262" spans="1:8" ht="17.2" customHeight="1" x14ac:dyDescent="0.3">
      <c r="A2262" s="63"/>
      <c r="B2262" s="63"/>
      <c r="C2262" s="63"/>
      <c r="D2262" s="63"/>
      <c r="E2262" s="64"/>
      <c r="F2262" s="64"/>
      <c r="G2262" s="64"/>
      <c r="H2262" s="73"/>
    </row>
    <row r="2263" spans="1:8" ht="17.2" customHeight="1" x14ac:dyDescent="0.3">
      <c r="A2263" s="70"/>
      <c r="E2263" s="71" t="s">
        <v>54</v>
      </c>
      <c r="F2263" s="71"/>
      <c r="G2263" s="71"/>
      <c r="H2263" s="72">
        <f>ROUND(SUM(G2260)+(G2261),2)</f>
        <v>8272.73</v>
      </c>
    </row>
    <row r="2264" spans="1:8" ht="17.2" customHeight="1" x14ac:dyDescent="0.3">
      <c r="A2264" s="61" t="s">
        <v>55</v>
      </c>
      <c r="B2264" s="525" t="s">
        <v>56</v>
      </c>
      <c r="C2264" s="526"/>
      <c r="D2264" s="526"/>
      <c r="E2264" s="526"/>
      <c r="F2264" s="526"/>
      <c r="G2264" s="527"/>
      <c r="H2264" s="73"/>
    </row>
    <row r="2265" spans="1:8" ht="17.2" customHeight="1" x14ac:dyDescent="0.3">
      <c r="A2265" s="63"/>
      <c r="B2265" s="63" t="s">
        <v>34</v>
      </c>
      <c r="C2265" s="62" t="s">
        <v>43</v>
      </c>
      <c r="D2265" s="62" t="s">
        <v>57</v>
      </c>
      <c r="E2265" s="62" t="s">
        <v>58</v>
      </c>
      <c r="F2265" s="62"/>
      <c r="G2265" s="64" t="s">
        <v>59</v>
      </c>
      <c r="H2265" s="73"/>
    </row>
    <row r="2266" spans="1:8" ht="17.2" customHeight="1" x14ac:dyDescent="0.3">
      <c r="A2266" s="63"/>
      <c r="B2266" s="63" t="s">
        <v>82</v>
      </c>
      <c r="C2266" s="80" t="s">
        <v>83</v>
      </c>
      <c r="D2266" s="63">
        <v>5.0000000000000001E-3</v>
      </c>
      <c r="E2266" s="64">
        <v>50000</v>
      </c>
      <c r="F2266" s="64"/>
      <c r="G2266" s="64">
        <f>D2266*E2266</f>
        <v>250</v>
      </c>
      <c r="H2266" s="73"/>
    </row>
    <row r="2267" spans="1:8" ht="17.2" customHeight="1" x14ac:dyDescent="0.3">
      <c r="A2267" s="63"/>
      <c r="B2267" s="63"/>
      <c r="C2267" s="81"/>
      <c r="D2267" s="63"/>
      <c r="E2267" s="64"/>
      <c r="F2267" s="64"/>
      <c r="G2267" s="64"/>
      <c r="H2267" s="73"/>
    </row>
    <row r="2268" spans="1:8" ht="17.2" customHeight="1" x14ac:dyDescent="0.3">
      <c r="A2268" s="63"/>
      <c r="B2268" s="63"/>
      <c r="C2268" s="63"/>
      <c r="D2268" s="63"/>
      <c r="E2268" s="64"/>
      <c r="F2268" s="64"/>
      <c r="G2268" s="64"/>
      <c r="H2268" s="73"/>
    </row>
    <row r="2269" spans="1:8" ht="17.2" customHeight="1" x14ac:dyDescent="0.3">
      <c r="A2269" s="70"/>
      <c r="E2269" s="71" t="s">
        <v>54</v>
      </c>
      <c r="F2269" s="71"/>
      <c r="G2269" s="71"/>
      <c r="H2269" s="119">
        <f>ROUND(SUM(G2266)+(G2267),0)</f>
        <v>250</v>
      </c>
    </row>
    <row r="2270" spans="1:8" ht="17.2" customHeight="1" x14ac:dyDescent="0.3">
      <c r="A2270" s="59"/>
      <c r="E2270" s="71"/>
      <c r="F2270" s="71"/>
      <c r="G2270" s="71"/>
      <c r="H2270" s="73"/>
    </row>
    <row r="2271" spans="1:8" ht="17.2" customHeight="1" x14ac:dyDescent="0.3">
      <c r="A2271" s="59"/>
      <c r="D2271" s="82" t="s">
        <v>60</v>
      </c>
      <c r="E2271" s="83"/>
      <c r="F2271" s="83"/>
      <c r="G2271" s="83"/>
      <c r="H2271" s="72">
        <f>ROUND(SUM(H2248:H2270),2)</f>
        <v>18500</v>
      </c>
    </row>
    <row r="2272" spans="1:8" ht="17.2" customHeight="1" x14ac:dyDescent="0.3">
      <c r="A2272" s="59"/>
      <c r="E2272" s="71"/>
      <c r="F2272" s="71"/>
      <c r="G2272" s="71"/>
      <c r="H2272" s="73"/>
    </row>
    <row r="2273" spans="1:8" ht="17.2" customHeight="1" x14ac:dyDescent="0.3">
      <c r="A2273" s="61" t="s">
        <v>61</v>
      </c>
      <c r="B2273" s="525" t="s">
        <v>62</v>
      </c>
      <c r="C2273" s="526"/>
      <c r="D2273" s="526"/>
      <c r="E2273" s="526"/>
      <c r="F2273" s="526"/>
      <c r="G2273" s="527"/>
      <c r="H2273" s="73"/>
    </row>
    <row r="2274" spans="1:8" ht="17.2" customHeight="1" x14ac:dyDescent="0.3">
      <c r="A2274" s="62"/>
      <c r="B2274" s="518" t="s">
        <v>34</v>
      </c>
      <c r="C2274" s="519"/>
      <c r="D2274" s="518" t="s">
        <v>63</v>
      </c>
      <c r="E2274" s="519"/>
      <c r="F2274" s="528" t="s">
        <v>64</v>
      </c>
      <c r="G2274" s="529"/>
      <c r="H2274" s="73"/>
    </row>
    <row r="2275" spans="1:8" ht="17.2" customHeight="1" x14ac:dyDescent="0.3">
      <c r="A2275" s="63"/>
      <c r="B2275" s="518" t="s">
        <v>20</v>
      </c>
      <c r="C2275" s="519"/>
      <c r="D2275" s="520">
        <v>0.28000000000000003</v>
      </c>
      <c r="E2275" s="519"/>
      <c r="F2275" s="521">
        <f>+H2271*D2275</f>
        <v>5180.0000000000009</v>
      </c>
      <c r="G2275" s="522"/>
      <c r="H2275" s="73"/>
    </row>
    <row r="2276" spans="1:8" ht="17.2" customHeight="1" x14ac:dyDescent="0.3">
      <c r="A2276" s="63"/>
      <c r="B2276" s="518" t="s">
        <v>21</v>
      </c>
      <c r="C2276" s="519"/>
      <c r="D2276" s="520">
        <v>0.01</v>
      </c>
      <c r="E2276" s="519"/>
      <c r="F2276" s="521">
        <f>+H2271*D2276</f>
        <v>185</v>
      </c>
      <c r="G2276" s="522"/>
      <c r="H2276" s="73"/>
    </row>
    <row r="2277" spans="1:8" ht="17.2" customHeight="1" x14ac:dyDescent="0.3">
      <c r="A2277" s="63"/>
      <c r="B2277" s="518" t="s">
        <v>22</v>
      </c>
      <c r="C2277" s="519"/>
      <c r="D2277" s="520">
        <v>0.03</v>
      </c>
      <c r="E2277" s="519"/>
      <c r="F2277" s="521">
        <f>+H2271*D2277</f>
        <v>555</v>
      </c>
      <c r="G2277" s="522"/>
      <c r="H2277" s="73"/>
    </row>
    <row r="2278" spans="1:8" ht="17.2" customHeight="1" x14ac:dyDescent="0.3">
      <c r="A2278" s="63"/>
      <c r="B2278" s="518" t="s">
        <v>188</v>
      </c>
      <c r="C2278" s="519"/>
      <c r="D2278" s="520">
        <v>0.19</v>
      </c>
      <c r="E2278" s="519"/>
      <c r="F2278" s="521">
        <f>D2278*F2277</f>
        <v>105.45</v>
      </c>
      <c r="G2278" s="522"/>
      <c r="H2278" s="73"/>
    </row>
    <row r="2279" spans="1:8" ht="17.2" customHeight="1" x14ac:dyDescent="0.3">
      <c r="A2279" s="59"/>
      <c r="D2279" s="82" t="s">
        <v>65</v>
      </c>
      <c r="E2279" s="83"/>
      <c r="F2279" s="83"/>
      <c r="G2279" s="83"/>
      <c r="H2279" s="72">
        <f>SUM(F2275:G2278)</f>
        <v>6025.4500000000007</v>
      </c>
    </row>
    <row r="2280" spans="1:8" ht="17.2" customHeight="1" x14ac:dyDescent="0.3">
      <c r="A2280" s="59"/>
      <c r="E2280" s="71"/>
      <c r="F2280" s="71"/>
      <c r="G2280" s="71"/>
      <c r="H2280" s="73"/>
    </row>
    <row r="2281" spans="1:8" ht="17.2" customHeight="1" x14ac:dyDescent="0.3">
      <c r="A2281" s="59"/>
      <c r="D2281" s="82" t="s">
        <v>66</v>
      </c>
      <c r="E2281" s="83"/>
      <c r="F2281" s="83"/>
      <c r="G2281" s="71"/>
      <c r="H2281" s="72">
        <f>H2271+H2279</f>
        <v>24525.45</v>
      </c>
    </row>
    <row r="2282" spans="1:8" ht="17.2" customHeight="1" x14ac:dyDescent="0.3">
      <c r="A2282" s="59"/>
      <c r="D2282" s="82"/>
      <c r="E2282" s="83"/>
      <c r="F2282" s="83"/>
      <c r="G2282" s="71"/>
      <c r="H2282" s="73"/>
    </row>
    <row r="2283" spans="1:8" ht="17.2" customHeight="1" x14ac:dyDescent="0.3">
      <c r="A2283" s="59"/>
      <c r="E2283" s="83"/>
      <c r="F2283" s="83"/>
      <c r="G2283" s="71"/>
      <c r="H2283" s="73"/>
    </row>
    <row r="2284" spans="1:8" ht="17.2" customHeight="1" x14ac:dyDescent="0.3">
      <c r="A2284" s="84"/>
      <c r="B2284" s="85"/>
      <c r="E2284" s="46"/>
      <c r="F2284" s="47"/>
      <c r="G2284" s="48"/>
      <c r="H2284" s="73"/>
    </row>
    <row r="2285" spans="1:8" ht="17.2" customHeight="1" x14ac:dyDescent="0.3">
      <c r="A2285" s="86" t="s">
        <v>67</v>
      </c>
      <c r="B2285" s="50" t="s">
        <v>68</v>
      </c>
      <c r="E2285" s="49" t="s">
        <v>27</v>
      </c>
      <c r="F2285" s="50"/>
      <c r="G2285" s="50"/>
      <c r="H2285" s="87"/>
    </row>
    <row r="2286" spans="1:8" ht="17.2" customHeight="1" x14ac:dyDescent="0.3">
      <c r="A2286" s="88" t="s">
        <v>28</v>
      </c>
      <c r="B2286" s="50"/>
      <c r="E2286" s="50" t="str">
        <f ca="1">+$E$52</f>
        <v>SECRETARIO DE PLANEACION Y OBRAS PUBLICAS</v>
      </c>
      <c r="F2286" s="50"/>
      <c r="G2286" s="50"/>
      <c r="H2286" s="87"/>
    </row>
    <row r="2287" spans="1:8" ht="17.2" customHeight="1" x14ac:dyDescent="0.3">
      <c r="A2287" s="89"/>
      <c r="B2287" s="90"/>
      <c r="C2287" s="85"/>
      <c r="D2287" s="85"/>
      <c r="E2287" s="90" t="str">
        <f ca="1">+$E$53</f>
        <v>SAN MIGUEL - PUTUMAYO</v>
      </c>
      <c r="F2287" s="90"/>
      <c r="G2287" s="90"/>
      <c r="H2287" s="91"/>
    </row>
    <row r="2288" spans="1:8" ht="17.2" customHeight="1" x14ac:dyDescent="0.3">
      <c r="A2288" s="556"/>
      <c r="B2288" s="557"/>
      <c r="C2288" s="380" t="s">
        <v>2</v>
      </c>
      <c r="D2288" s="382" t="s">
        <v>3</v>
      </c>
      <c r="E2288" s="383"/>
      <c r="F2288" s="1">
        <v>103</v>
      </c>
      <c r="G2288" s="548"/>
      <c r="H2288" s="549"/>
    </row>
    <row r="2289" spans="1:8" ht="17.2" customHeight="1" x14ac:dyDescent="0.3">
      <c r="A2289" s="558"/>
      <c r="B2289" s="559"/>
      <c r="C2289" s="381"/>
      <c r="D2289" s="396" t="s">
        <v>4</v>
      </c>
      <c r="E2289" s="397"/>
      <c r="F2289" s="400">
        <v>51</v>
      </c>
      <c r="G2289" s="550"/>
      <c r="H2289" s="551"/>
    </row>
    <row r="2290" spans="1:8" ht="17.2" customHeight="1" x14ac:dyDescent="0.3">
      <c r="A2290" s="558"/>
      <c r="B2290" s="559"/>
      <c r="C2290" s="5" t="s">
        <v>5</v>
      </c>
      <c r="D2290" s="398"/>
      <c r="E2290" s="399"/>
      <c r="F2290" s="401"/>
      <c r="G2290" s="550"/>
      <c r="H2290" s="551"/>
    </row>
    <row r="2291" spans="1:8" ht="17.2" customHeight="1" x14ac:dyDescent="0.3">
      <c r="A2291" s="558"/>
      <c r="B2291" s="559"/>
      <c r="C2291" s="55" t="s">
        <v>6</v>
      </c>
      <c r="D2291" s="402" t="s">
        <v>7</v>
      </c>
      <c r="E2291" s="403"/>
      <c r="F2291" s="7">
        <v>1</v>
      </c>
      <c r="G2291" s="550"/>
      <c r="H2291" s="551"/>
    </row>
    <row r="2292" spans="1:8" ht="17.2" customHeight="1" x14ac:dyDescent="0.3">
      <c r="A2292" s="558"/>
      <c r="B2292" s="559"/>
      <c r="C2292" s="530" t="s">
        <v>8</v>
      </c>
      <c r="D2292" s="532" t="s">
        <v>9</v>
      </c>
      <c r="E2292" s="533"/>
      <c r="F2292" s="5" t="s">
        <v>10</v>
      </c>
      <c r="G2292" s="550"/>
      <c r="H2292" s="551"/>
    </row>
    <row r="2293" spans="1:8" ht="18.2" customHeight="1" x14ac:dyDescent="0.3">
      <c r="A2293" s="560"/>
      <c r="B2293" s="561"/>
      <c r="C2293" s="531"/>
      <c r="D2293" s="534"/>
      <c r="E2293" s="535"/>
      <c r="F2293" s="8">
        <f>$F$6</f>
        <v>45402</v>
      </c>
      <c r="G2293" s="552"/>
      <c r="H2293" s="553"/>
    </row>
    <row r="2294" spans="1:8" ht="17.2" customHeight="1" thickBot="1" x14ac:dyDescent="0.35">
      <c r="A2294" s="536"/>
      <c r="B2294" s="537"/>
      <c r="C2294" s="537"/>
      <c r="D2294" s="537"/>
      <c r="E2294" s="537"/>
      <c r="F2294" s="537"/>
      <c r="G2294" s="537"/>
      <c r="H2294" s="538"/>
    </row>
    <row r="2295" spans="1:8" ht="32.75" customHeight="1" thickBot="1" x14ac:dyDescent="0.35">
      <c r="A2295" s="92">
        <v>6.7</v>
      </c>
      <c r="B2295" s="539" t="str">
        <f>VLOOKUP(A2295,PRESUPUESTO!$A$14:$G$71,2,)</f>
        <v>Instalacion de ceramica antideslizante formato 35X35</v>
      </c>
      <c r="C2295" s="540"/>
      <c r="D2295" s="540"/>
      <c r="E2295" s="540"/>
      <c r="F2295" s="541"/>
      <c r="G2295" s="57" t="s">
        <v>31</v>
      </c>
      <c r="H2295" s="58" t="str">
        <f>VLOOKUP(A2295,PRESUPUESTO!$A$14:$G$71,4,)</f>
        <v>M2</v>
      </c>
    </row>
    <row r="2296" spans="1:8" ht="17.2" customHeight="1" x14ac:dyDescent="0.3">
      <c r="A2296" s="59"/>
      <c r="H2296" s="60"/>
    </row>
    <row r="2297" spans="1:8" ht="26.85" customHeight="1" x14ac:dyDescent="0.3">
      <c r="A2297" s="61" t="s">
        <v>32</v>
      </c>
      <c r="B2297" s="525" t="s">
        <v>33</v>
      </c>
      <c r="C2297" s="526"/>
      <c r="D2297" s="526"/>
      <c r="E2297" s="526"/>
      <c r="F2297" s="526"/>
      <c r="G2297" s="527"/>
      <c r="H2297" s="60"/>
    </row>
    <row r="2298" spans="1:8" ht="17.2" customHeight="1" x14ac:dyDescent="0.3">
      <c r="A2298" s="62"/>
      <c r="B2298" s="518" t="s">
        <v>34</v>
      </c>
      <c r="C2298" s="519"/>
      <c r="D2298" s="62" t="s">
        <v>35</v>
      </c>
      <c r="E2298" s="62" t="s">
        <v>69</v>
      </c>
      <c r="F2298" s="62" t="s">
        <v>70</v>
      </c>
      <c r="G2298" s="62" t="s">
        <v>38</v>
      </c>
      <c r="H2298" s="60"/>
    </row>
    <row r="2299" spans="1:8" ht="17.2" customHeight="1" x14ac:dyDescent="0.3">
      <c r="A2299" s="63"/>
      <c r="B2299" s="542" t="s">
        <v>39</v>
      </c>
      <c r="C2299" s="543"/>
      <c r="D2299" s="63"/>
      <c r="E2299" s="64"/>
      <c r="F2299" s="64">
        <v>0.1</v>
      </c>
      <c r="G2299" s="65">
        <f>ROUND(H2316*F2299,2)</f>
        <v>2275</v>
      </c>
      <c r="H2299" s="66"/>
    </row>
    <row r="2300" spans="1:8" ht="17.2" customHeight="1" x14ac:dyDescent="0.3">
      <c r="A2300" s="63"/>
      <c r="B2300" s="542"/>
      <c r="C2300" s="543"/>
      <c r="D2300" s="62"/>
      <c r="E2300" s="68"/>
      <c r="F2300" s="64"/>
      <c r="G2300" s="69"/>
      <c r="H2300" s="66"/>
    </row>
    <row r="2301" spans="1:8" ht="28.15" customHeight="1" x14ac:dyDescent="0.3">
      <c r="A2301" s="70"/>
      <c r="E2301" s="71" t="s">
        <v>40</v>
      </c>
      <c r="F2301" s="71"/>
      <c r="G2301" s="71"/>
      <c r="H2301" s="72">
        <f>ROUND(SUM(G2299:G2300),2)</f>
        <v>2275</v>
      </c>
    </row>
    <row r="2302" spans="1:8" ht="17.2" customHeight="1" x14ac:dyDescent="0.3">
      <c r="A2302" s="61" t="s">
        <v>41</v>
      </c>
      <c r="B2302" s="525" t="s">
        <v>42</v>
      </c>
      <c r="C2302" s="526"/>
      <c r="D2302" s="526"/>
      <c r="E2302" s="526"/>
      <c r="F2302" s="526"/>
      <c r="G2302" s="527"/>
      <c r="H2302" s="73"/>
    </row>
    <row r="2303" spans="1:8" ht="17.2" customHeight="1" x14ac:dyDescent="0.3">
      <c r="A2303" s="62"/>
      <c r="B2303" s="518" t="s">
        <v>34</v>
      </c>
      <c r="C2303" s="519"/>
      <c r="D2303" s="63" t="s">
        <v>43</v>
      </c>
      <c r="E2303" s="74" t="s">
        <v>44</v>
      </c>
      <c r="F2303" s="74" t="s">
        <v>45</v>
      </c>
      <c r="G2303" s="74" t="s">
        <v>38</v>
      </c>
      <c r="H2303" s="73"/>
    </row>
    <row r="2304" spans="1:8" ht="17.2" customHeight="1" x14ac:dyDescent="0.3">
      <c r="A2304" s="63"/>
      <c r="B2304" s="544" t="s">
        <v>324</v>
      </c>
      <c r="C2304" s="545"/>
      <c r="D2304" s="270" t="s">
        <v>178</v>
      </c>
      <c r="E2304" s="94">
        <v>1.05</v>
      </c>
      <c r="F2304" s="95">
        <v>56000</v>
      </c>
      <c r="G2304" s="120">
        <f>ROUND(E2304*F2304,2)</f>
        <v>58800</v>
      </c>
      <c r="H2304" s="73"/>
    </row>
    <row r="2305" spans="1:8" ht="17.2" customHeight="1" x14ac:dyDescent="0.3">
      <c r="A2305" s="63"/>
      <c r="B2305" s="546" t="s">
        <v>325</v>
      </c>
      <c r="C2305" s="547"/>
      <c r="D2305" s="270" t="s">
        <v>180</v>
      </c>
      <c r="E2305" s="94">
        <v>4.5</v>
      </c>
      <c r="F2305" s="95">
        <v>2000</v>
      </c>
      <c r="G2305" s="67">
        <f t="shared" ref="G2305:G2306" si="30">ROUND(E2305*F2305,2)</f>
        <v>9000</v>
      </c>
      <c r="H2305" s="73"/>
    </row>
    <row r="2306" spans="1:8" ht="17.2" customHeight="1" x14ac:dyDescent="0.3">
      <c r="A2306" s="63"/>
      <c r="B2306" s="546" t="s">
        <v>326</v>
      </c>
      <c r="C2306" s="547"/>
      <c r="D2306" s="270" t="s">
        <v>180</v>
      </c>
      <c r="E2306" s="94">
        <v>0.2</v>
      </c>
      <c r="F2306" s="95">
        <v>15000</v>
      </c>
      <c r="G2306" s="67">
        <f t="shared" si="30"/>
        <v>3000</v>
      </c>
      <c r="H2306" s="73"/>
    </row>
    <row r="2307" spans="1:8" ht="17.2" customHeight="1" x14ac:dyDescent="0.3">
      <c r="A2307" s="63"/>
      <c r="B2307" s="523"/>
      <c r="C2307" s="524"/>
      <c r="D2307" s="93"/>
      <c r="E2307" s="94"/>
      <c r="F2307" s="95"/>
      <c r="G2307" s="67"/>
      <c r="H2307" s="73"/>
    </row>
    <row r="2308" spans="1:8" ht="17.2" customHeight="1" x14ac:dyDescent="0.3">
      <c r="A2308" s="63"/>
      <c r="B2308" s="523"/>
      <c r="C2308" s="524"/>
      <c r="D2308" s="93"/>
      <c r="E2308" s="94"/>
      <c r="F2308" s="95"/>
      <c r="G2308" s="67"/>
      <c r="H2308" s="73"/>
    </row>
    <row r="2309" spans="1:8" ht="17.2" customHeight="1" x14ac:dyDescent="0.3">
      <c r="A2309" s="63"/>
      <c r="B2309" s="523"/>
      <c r="C2309" s="524"/>
      <c r="D2309" s="93"/>
      <c r="E2309" s="94"/>
      <c r="F2309" s="95"/>
      <c r="G2309" s="67"/>
      <c r="H2309" s="73"/>
    </row>
    <row r="2310" spans="1:8" ht="13.75" customHeight="1" x14ac:dyDescent="0.3">
      <c r="A2310" s="70" t="s">
        <v>46</v>
      </c>
      <c r="E2310" s="71" t="s">
        <v>47</v>
      </c>
      <c r="F2310" s="71"/>
      <c r="G2310" s="71"/>
      <c r="H2310" s="76">
        <f>ROUND(SUM(G2304:G2309),2)</f>
        <v>70800</v>
      </c>
    </row>
    <row r="2311" spans="1:8" ht="17.2" customHeight="1" x14ac:dyDescent="0.3">
      <c r="A2311" s="61" t="s">
        <v>48</v>
      </c>
      <c r="B2311" s="525" t="s">
        <v>49</v>
      </c>
      <c r="C2311" s="526"/>
      <c r="D2311" s="526"/>
      <c r="E2311" s="526"/>
      <c r="F2311" s="526"/>
      <c r="G2311" s="527"/>
      <c r="H2311" s="73"/>
    </row>
    <row r="2312" spans="1:8" ht="17.2" customHeight="1" x14ac:dyDescent="0.3">
      <c r="A2312" s="62" t="s">
        <v>50</v>
      </c>
      <c r="B2312" s="62" t="s">
        <v>34</v>
      </c>
      <c r="C2312" s="62" t="s">
        <v>51</v>
      </c>
      <c r="D2312" s="62" t="s">
        <v>52</v>
      </c>
      <c r="E2312" s="74" t="s">
        <v>53</v>
      </c>
      <c r="F2312" s="64" t="s">
        <v>186</v>
      </c>
      <c r="G2312" s="64" t="s">
        <v>38</v>
      </c>
      <c r="H2312" s="73"/>
    </row>
    <row r="2313" spans="1:8" ht="17.2" customHeight="1" x14ac:dyDescent="0.3">
      <c r="A2313" s="62">
        <v>1</v>
      </c>
      <c r="B2313" s="63" t="s">
        <v>79</v>
      </c>
      <c r="C2313" s="77">
        <v>120000</v>
      </c>
      <c r="D2313" s="78">
        <v>0.75</v>
      </c>
      <c r="E2313" s="79">
        <f>+(A2313*C2313)+(A2313*C2313*D2313)</f>
        <v>210000</v>
      </c>
      <c r="F2313" s="75">
        <v>20</v>
      </c>
      <c r="G2313" s="65">
        <f>ROUND(E2313/(F2313),2)</f>
        <v>10500</v>
      </c>
      <c r="H2313" s="73"/>
    </row>
    <row r="2314" spans="1:8" ht="17.2" customHeight="1" x14ac:dyDescent="0.3">
      <c r="A2314" s="62">
        <v>2</v>
      </c>
      <c r="B2314" s="63" t="s">
        <v>80</v>
      </c>
      <c r="C2314" s="77">
        <v>70000</v>
      </c>
      <c r="D2314" s="78">
        <v>0.75</v>
      </c>
      <c r="E2314" s="79">
        <f>+(A2314*C2314)+(A2314*C2314*D2314)</f>
        <v>245000</v>
      </c>
      <c r="F2314" s="75">
        <v>20</v>
      </c>
      <c r="G2314" s="65">
        <f>ROUND(E2314/(F2314),2)</f>
        <v>12250</v>
      </c>
      <c r="H2314" s="73"/>
    </row>
    <row r="2315" spans="1:8" ht="17.2" customHeight="1" x14ac:dyDescent="0.3">
      <c r="A2315" s="63"/>
      <c r="B2315" s="63"/>
      <c r="C2315" s="63"/>
      <c r="D2315" s="63"/>
      <c r="E2315" s="64"/>
      <c r="F2315" s="64"/>
      <c r="G2315" s="64"/>
      <c r="H2315" s="73"/>
    </row>
    <row r="2316" spans="1:8" ht="17.2" customHeight="1" x14ac:dyDescent="0.3">
      <c r="A2316" s="70"/>
      <c r="E2316" s="71" t="s">
        <v>54</v>
      </c>
      <c r="F2316" s="71"/>
      <c r="G2316" s="71"/>
      <c r="H2316" s="72">
        <f>ROUND(SUM(G2313)+(G2314),2)</f>
        <v>22750</v>
      </c>
    </row>
    <row r="2317" spans="1:8" ht="17.2" customHeight="1" x14ac:dyDescent="0.3">
      <c r="A2317" s="61" t="s">
        <v>55</v>
      </c>
      <c r="B2317" s="525" t="s">
        <v>56</v>
      </c>
      <c r="C2317" s="526"/>
      <c r="D2317" s="526"/>
      <c r="E2317" s="526"/>
      <c r="F2317" s="526"/>
      <c r="G2317" s="527"/>
      <c r="H2317" s="73"/>
    </row>
    <row r="2318" spans="1:8" ht="17.2" customHeight="1" x14ac:dyDescent="0.3">
      <c r="A2318" s="63"/>
      <c r="B2318" s="63" t="s">
        <v>34</v>
      </c>
      <c r="C2318" s="62" t="s">
        <v>43</v>
      </c>
      <c r="D2318" s="62" t="s">
        <v>57</v>
      </c>
      <c r="E2318" s="62" t="s">
        <v>58</v>
      </c>
      <c r="F2318" s="62"/>
      <c r="G2318" s="64" t="s">
        <v>59</v>
      </c>
      <c r="H2318" s="73"/>
    </row>
    <row r="2319" spans="1:8" ht="17.2" customHeight="1" x14ac:dyDescent="0.3">
      <c r="A2319" s="63"/>
      <c r="B2319" s="63" t="s">
        <v>82</v>
      </c>
      <c r="C2319" s="80" t="s">
        <v>83</v>
      </c>
      <c r="D2319" s="63">
        <v>5.0000000000000001E-3</v>
      </c>
      <c r="E2319" s="64">
        <v>50000</v>
      </c>
      <c r="F2319" s="64"/>
      <c r="G2319" s="64">
        <f>D2319*E2319</f>
        <v>250</v>
      </c>
      <c r="H2319" s="73"/>
    </row>
    <row r="2320" spans="1:8" ht="17.2" customHeight="1" x14ac:dyDescent="0.3">
      <c r="A2320" s="63"/>
      <c r="B2320" s="63"/>
      <c r="C2320" s="81"/>
      <c r="D2320" s="63"/>
      <c r="E2320" s="64"/>
      <c r="F2320" s="64"/>
      <c r="G2320" s="64"/>
      <c r="H2320" s="73"/>
    </row>
    <row r="2321" spans="1:8" ht="17.2" customHeight="1" x14ac:dyDescent="0.3">
      <c r="A2321" s="63"/>
      <c r="B2321" s="63"/>
      <c r="C2321" s="63"/>
      <c r="D2321" s="63"/>
      <c r="E2321" s="64"/>
      <c r="F2321" s="64"/>
      <c r="G2321" s="64"/>
      <c r="H2321" s="73"/>
    </row>
    <row r="2322" spans="1:8" ht="17.2" customHeight="1" x14ac:dyDescent="0.3">
      <c r="A2322" s="70"/>
      <c r="E2322" s="71" t="s">
        <v>54</v>
      </c>
      <c r="F2322" s="71"/>
      <c r="G2322" s="71"/>
      <c r="H2322" s="119">
        <f>ROUND(SUM(G2319)+(G2320),0)</f>
        <v>250</v>
      </c>
    </row>
    <row r="2323" spans="1:8" ht="17.2" customHeight="1" x14ac:dyDescent="0.3">
      <c r="A2323" s="59"/>
      <c r="E2323" s="71"/>
      <c r="F2323" s="71"/>
      <c r="G2323" s="71"/>
      <c r="H2323" s="73"/>
    </row>
    <row r="2324" spans="1:8" ht="17.2" customHeight="1" x14ac:dyDescent="0.3">
      <c r="A2324" s="59"/>
      <c r="D2324" s="82" t="s">
        <v>60</v>
      </c>
      <c r="E2324" s="83"/>
      <c r="F2324" s="83"/>
      <c r="G2324" s="83"/>
      <c r="H2324" s="72">
        <f>ROUND(SUM(H2301:H2323),2)</f>
        <v>96075</v>
      </c>
    </row>
    <row r="2325" spans="1:8" ht="17.2" customHeight="1" x14ac:dyDescent="0.3">
      <c r="A2325" s="59"/>
      <c r="E2325" s="71"/>
      <c r="F2325" s="71"/>
      <c r="G2325" s="71"/>
      <c r="H2325" s="73"/>
    </row>
    <row r="2326" spans="1:8" ht="17.2" customHeight="1" x14ac:dyDescent="0.3">
      <c r="A2326" s="61" t="s">
        <v>61</v>
      </c>
      <c r="B2326" s="525" t="s">
        <v>62</v>
      </c>
      <c r="C2326" s="526"/>
      <c r="D2326" s="526"/>
      <c r="E2326" s="526"/>
      <c r="F2326" s="526"/>
      <c r="G2326" s="527"/>
      <c r="H2326" s="73"/>
    </row>
    <row r="2327" spans="1:8" ht="17.2" customHeight="1" x14ac:dyDescent="0.3">
      <c r="A2327" s="62"/>
      <c r="B2327" s="518" t="s">
        <v>34</v>
      </c>
      <c r="C2327" s="519"/>
      <c r="D2327" s="518" t="s">
        <v>63</v>
      </c>
      <c r="E2327" s="519"/>
      <c r="F2327" s="528" t="s">
        <v>64</v>
      </c>
      <c r="G2327" s="529"/>
      <c r="H2327" s="73"/>
    </row>
    <row r="2328" spans="1:8" ht="17.2" customHeight="1" x14ac:dyDescent="0.3">
      <c r="A2328" s="63"/>
      <c r="B2328" s="518" t="s">
        <v>20</v>
      </c>
      <c r="C2328" s="519"/>
      <c r="D2328" s="520">
        <v>0.28000000000000003</v>
      </c>
      <c r="E2328" s="519"/>
      <c r="F2328" s="521">
        <f>+H2324*D2328</f>
        <v>26901.000000000004</v>
      </c>
      <c r="G2328" s="522"/>
      <c r="H2328" s="73"/>
    </row>
    <row r="2329" spans="1:8" ht="17.2" customHeight="1" x14ac:dyDescent="0.3">
      <c r="A2329" s="63"/>
      <c r="B2329" s="518" t="s">
        <v>21</v>
      </c>
      <c r="C2329" s="519"/>
      <c r="D2329" s="520">
        <v>0.01</v>
      </c>
      <c r="E2329" s="519"/>
      <c r="F2329" s="521">
        <f>+H2324*D2329</f>
        <v>960.75</v>
      </c>
      <c r="G2329" s="522"/>
      <c r="H2329" s="73"/>
    </row>
    <row r="2330" spans="1:8" ht="17.2" customHeight="1" x14ac:dyDescent="0.3">
      <c r="A2330" s="63"/>
      <c r="B2330" s="518" t="s">
        <v>22</v>
      </c>
      <c r="C2330" s="519"/>
      <c r="D2330" s="520">
        <v>0.03</v>
      </c>
      <c r="E2330" s="519"/>
      <c r="F2330" s="521">
        <f>+H2324*D2330</f>
        <v>2882.25</v>
      </c>
      <c r="G2330" s="522"/>
      <c r="H2330" s="73"/>
    </row>
    <row r="2331" spans="1:8" ht="17.2" customHeight="1" x14ac:dyDescent="0.3">
      <c r="A2331" s="63"/>
      <c r="B2331" s="518" t="s">
        <v>188</v>
      </c>
      <c r="C2331" s="519"/>
      <c r="D2331" s="520">
        <v>0.19</v>
      </c>
      <c r="E2331" s="519"/>
      <c r="F2331" s="521">
        <f>D2331*F2330</f>
        <v>547.62750000000005</v>
      </c>
      <c r="G2331" s="522"/>
      <c r="H2331" s="73"/>
    </row>
    <row r="2332" spans="1:8" ht="17.2" customHeight="1" x14ac:dyDescent="0.3">
      <c r="A2332" s="59"/>
      <c r="D2332" s="82" t="s">
        <v>65</v>
      </c>
      <c r="E2332" s="83"/>
      <c r="F2332" s="83"/>
      <c r="G2332" s="83"/>
      <c r="H2332" s="72">
        <f>SUM(F2328:G2331)</f>
        <v>31291.627500000002</v>
      </c>
    </row>
    <row r="2333" spans="1:8" ht="17.2" customHeight="1" x14ac:dyDescent="0.3">
      <c r="A2333" s="59"/>
      <c r="E2333" s="71"/>
      <c r="F2333" s="71"/>
      <c r="G2333" s="71"/>
      <c r="H2333" s="73"/>
    </row>
    <row r="2334" spans="1:8" ht="17.2" customHeight="1" x14ac:dyDescent="0.3">
      <c r="A2334" s="59"/>
      <c r="D2334" s="82" t="s">
        <v>66</v>
      </c>
      <c r="E2334" s="83"/>
      <c r="F2334" s="83"/>
      <c r="G2334" s="71"/>
      <c r="H2334" s="72">
        <f>H2324+H2332</f>
        <v>127366.6275</v>
      </c>
    </row>
    <row r="2335" spans="1:8" ht="17.2" customHeight="1" x14ac:dyDescent="0.3">
      <c r="A2335" s="59"/>
      <c r="D2335" s="82"/>
      <c r="E2335" s="83"/>
      <c r="F2335" s="83"/>
      <c r="G2335" s="71"/>
      <c r="H2335" s="73"/>
    </row>
    <row r="2336" spans="1:8" ht="17.2" customHeight="1" x14ac:dyDescent="0.3">
      <c r="A2336" s="59"/>
      <c r="E2336" s="83"/>
      <c r="F2336" s="83"/>
      <c r="G2336" s="71"/>
      <c r="H2336" s="73"/>
    </row>
    <row r="2337" spans="1:8" ht="17.2" customHeight="1" x14ac:dyDescent="0.3">
      <c r="A2337" s="84"/>
      <c r="B2337" s="85"/>
      <c r="E2337" s="46"/>
      <c r="F2337" s="47"/>
      <c r="G2337" s="48"/>
      <c r="H2337" s="73"/>
    </row>
    <row r="2338" spans="1:8" ht="17.2" customHeight="1" x14ac:dyDescent="0.3">
      <c r="A2338" s="86" t="s">
        <v>67</v>
      </c>
      <c r="B2338" s="50" t="s">
        <v>68</v>
      </c>
      <c r="E2338" s="49" t="s">
        <v>27</v>
      </c>
      <c r="F2338" s="50"/>
      <c r="G2338" s="50"/>
      <c r="H2338" s="87"/>
    </row>
    <row r="2339" spans="1:8" ht="17.2" customHeight="1" x14ac:dyDescent="0.3">
      <c r="A2339" s="88" t="s">
        <v>28</v>
      </c>
      <c r="B2339" s="50"/>
      <c r="E2339" s="50" t="str">
        <f ca="1">+$E$52</f>
        <v>SECRETARIO DE PLANEACION Y OBRAS PUBLICAS</v>
      </c>
      <c r="F2339" s="50"/>
      <c r="G2339" s="50"/>
      <c r="H2339" s="87"/>
    </row>
    <row r="2340" spans="1:8" ht="17.2" customHeight="1" x14ac:dyDescent="0.3">
      <c r="A2340" s="89"/>
      <c r="B2340" s="90"/>
      <c r="C2340" s="85"/>
      <c r="D2340" s="85"/>
      <c r="E2340" s="90" t="str">
        <f ca="1">+$E$53</f>
        <v>SAN MIGUEL - PUTUMAYO</v>
      </c>
      <c r="F2340" s="90"/>
      <c r="G2340" s="90"/>
      <c r="H2340" s="91"/>
    </row>
    <row r="2341" spans="1:8" ht="17.2" customHeight="1" x14ac:dyDescent="0.3">
      <c r="A2341" s="536"/>
      <c r="B2341" s="537"/>
      <c r="C2341" s="537"/>
      <c r="D2341" s="537"/>
      <c r="E2341" s="537"/>
      <c r="F2341" s="537"/>
      <c r="G2341" s="537"/>
      <c r="H2341" s="538"/>
    </row>
    <row r="2342" spans="1:8" ht="17.2" customHeight="1" x14ac:dyDescent="0.3">
      <c r="A2342" s="556"/>
      <c r="B2342" s="557"/>
      <c r="C2342" s="380" t="s">
        <v>2</v>
      </c>
      <c r="D2342" s="382" t="s">
        <v>3</v>
      </c>
      <c r="E2342" s="383"/>
      <c r="F2342" s="1">
        <v>103</v>
      </c>
      <c r="G2342" s="548"/>
      <c r="H2342" s="549"/>
    </row>
    <row r="2343" spans="1:8" ht="17.2" customHeight="1" x14ac:dyDescent="0.3">
      <c r="A2343" s="558"/>
      <c r="B2343" s="559"/>
      <c r="C2343" s="381"/>
      <c r="D2343" s="396" t="s">
        <v>4</v>
      </c>
      <c r="E2343" s="397"/>
      <c r="F2343" s="400">
        <v>51</v>
      </c>
      <c r="G2343" s="550"/>
      <c r="H2343" s="551"/>
    </row>
    <row r="2344" spans="1:8" ht="17.2" customHeight="1" x14ac:dyDescent="0.3">
      <c r="A2344" s="558"/>
      <c r="B2344" s="559"/>
      <c r="C2344" s="5" t="s">
        <v>5</v>
      </c>
      <c r="D2344" s="398"/>
      <c r="E2344" s="399"/>
      <c r="F2344" s="401"/>
      <c r="G2344" s="550"/>
      <c r="H2344" s="551"/>
    </row>
    <row r="2345" spans="1:8" ht="18.2" customHeight="1" x14ac:dyDescent="0.3">
      <c r="A2345" s="558"/>
      <c r="B2345" s="559"/>
      <c r="C2345" s="55" t="s">
        <v>6</v>
      </c>
      <c r="D2345" s="402" t="s">
        <v>7</v>
      </c>
      <c r="E2345" s="403"/>
      <c r="F2345" s="7">
        <v>1</v>
      </c>
      <c r="G2345" s="550"/>
      <c r="H2345" s="551"/>
    </row>
    <row r="2346" spans="1:8" ht="18.2" customHeight="1" x14ac:dyDescent="0.3">
      <c r="A2346" s="558"/>
      <c r="B2346" s="559"/>
      <c r="C2346" s="530" t="s">
        <v>8</v>
      </c>
      <c r="D2346" s="532" t="s">
        <v>9</v>
      </c>
      <c r="E2346" s="533"/>
      <c r="F2346" s="5" t="s">
        <v>10</v>
      </c>
      <c r="G2346" s="550"/>
      <c r="H2346" s="551"/>
    </row>
    <row r="2347" spans="1:8" ht="17.2" customHeight="1" x14ac:dyDescent="0.3">
      <c r="A2347" s="560"/>
      <c r="B2347" s="561"/>
      <c r="C2347" s="531"/>
      <c r="D2347" s="534"/>
      <c r="E2347" s="535"/>
      <c r="F2347" s="8">
        <f>$F$6</f>
        <v>45402</v>
      </c>
      <c r="G2347" s="552"/>
      <c r="H2347" s="553"/>
    </row>
    <row r="2348" spans="1:8" ht="17.2" customHeight="1" thickBot="1" x14ac:dyDescent="0.35">
      <c r="A2348" s="536"/>
      <c r="B2348" s="537"/>
      <c r="C2348" s="537"/>
      <c r="D2348" s="537"/>
      <c r="E2348" s="537"/>
      <c r="F2348" s="537"/>
      <c r="G2348" s="537"/>
      <c r="H2348" s="538"/>
    </row>
    <row r="2349" spans="1:8" ht="29.45" customHeight="1" thickBot="1" x14ac:dyDescent="0.35">
      <c r="A2349" s="92">
        <v>6.8</v>
      </c>
      <c r="B2349" s="539" t="str">
        <f>VLOOKUP(A2349,PRESUPUESTO!$A$14:$G$71,2,)</f>
        <v>Suministro e instalación de cerámica para pared 30x30 cm color blanco (incluye alistado)</v>
      </c>
      <c r="C2349" s="540"/>
      <c r="D2349" s="540"/>
      <c r="E2349" s="540"/>
      <c r="F2349" s="541"/>
      <c r="G2349" s="57" t="s">
        <v>31</v>
      </c>
      <c r="H2349" s="58" t="str">
        <f>VLOOKUP(A2349,PRESUPUESTO!$A$14:$G$71,4,)</f>
        <v>M2</v>
      </c>
    </row>
    <row r="2350" spans="1:8" ht="26.85" customHeight="1" x14ac:dyDescent="0.3">
      <c r="A2350" s="59"/>
      <c r="H2350" s="60"/>
    </row>
    <row r="2351" spans="1:8" ht="17.2" customHeight="1" x14ac:dyDescent="0.3">
      <c r="A2351" s="61" t="s">
        <v>32</v>
      </c>
      <c r="B2351" s="525" t="s">
        <v>33</v>
      </c>
      <c r="C2351" s="526"/>
      <c r="D2351" s="526"/>
      <c r="E2351" s="526"/>
      <c r="F2351" s="526"/>
      <c r="G2351" s="527"/>
      <c r="H2351" s="60"/>
    </row>
    <row r="2352" spans="1:8" ht="17.2" customHeight="1" x14ac:dyDescent="0.3">
      <c r="A2352" s="62"/>
      <c r="B2352" s="518" t="s">
        <v>34</v>
      </c>
      <c r="C2352" s="519"/>
      <c r="D2352" s="62" t="s">
        <v>35</v>
      </c>
      <c r="E2352" s="62" t="s">
        <v>69</v>
      </c>
      <c r="F2352" s="62" t="s">
        <v>70</v>
      </c>
      <c r="G2352" s="62" t="s">
        <v>38</v>
      </c>
      <c r="H2352" s="60"/>
    </row>
    <row r="2353" spans="1:8" ht="17.2" customHeight="1" x14ac:dyDescent="0.3">
      <c r="A2353" s="63"/>
      <c r="B2353" s="542" t="s">
        <v>39</v>
      </c>
      <c r="C2353" s="543"/>
      <c r="D2353" s="62"/>
      <c r="E2353" s="64"/>
      <c r="F2353" s="64">
        <v>0.1</v>
      </c>
      <c r="G2353" s="65">
        <f>H2365*F2353</f>
        <v>0</v>
      </c>
      <c r="H2353" s="66"/>
    </row>
    <row r="2354" spans="1:8" ht="28.15" customHeight="1" x14ac:dyDescent="0.3">
      <c r="A2354" s="63"/>
      <c r="B2354" s="542" t="s">
        <v>385</v>
      </c>
      <c r="C2354" s="543"/>
      <c r="D2354" s="62" t="s">
        <v>363</v>
      </c>
      <c r="E2354" s="64">
        <v>50000</v>
      </c>
      <c r="F2354" s="64">
        <v>0.05</v>
      </c>
      <c r="G2354" s="65">
        <f>F2354*E2354</f>
        <v>2500</v>
      </c>
      <c r="H2354" s="66"/>
    </row>
    <row r="2355" spans="1:8" ht="17.2" customHeight="1" x14ac:dyDescent="0.3">
      <c r="A2355" s="70"/>
      <c r="E2355" s="71" t="s">
        <v>40</v>
      </c>
      <c r="F2355" s="71"/>
      <c r="G2355" s="71"/>
      <c r="H2355" s="72">
        <f>ROUND(SUM(G2353:G2354),2)</f>
        <v>2500</v>
      </c>
    </row>
    <row r="2356" spans="1:8" ht="17.2" customHeight="1" x14ac:dyDescent="0.3">
      <c r="A2356" s="61" t="s">
        <v>41</v>
      </c>
      <c r="B2356" s="525" t="s">
        <v>42</v>
      </c>
      <c r="C2356" s="526"/>
      <c r="D2356" s="526"/>
      <c r="E2356" s="526"/>
      <c r="F2356" s="526"/>
      <c r="G2356" s="527"/>
      <c r="H2356" s="73"/>
    </row>
    <row r="2357" spans="1:8" ht="17.2" customHeight="1" x14ac:dyDescent="0.3">
      <c r="A2357" s="62"/>
      <c r="B2357" s="518" t="s">
        <v>34</v>
      </c>
      <c r="C2357" s="519"/>
      <c r="D2357" s="63" t="s">
        <v>43</v>
      </c>
      <c r="E2357" s="74" t="s">
        <v>44</v>
      </c>
      <c r="F2357" s="74" t="s">
        <v>45</v>
      </c>
      <c r="G2357" s="74" t="s">
        <v>38</v>
      </c>
      <c r="H2357" s="73"/>
    </row>
    <row r="2358" spans="1:8" ht="17.2" customHeight="1" x14ac:dyDescent="0.3">
      <c r="A2358" s="63"/>
      <c r="B2358" s="546" t="s">
        <v>386</v>
      </c>
      <c r="C2358" s="547"/>
      <c r="D2358" s="270" t="s">
        <v>178</v>
      </c>
      <c r="E2358" s="271">
        <v>1.05</v>
      </c>
      <c r="F2358" s="300">
        <v>55000</v>
      </c>
      <c r="G2358" s="64">
        <f>E2358*F2358</f>
        <v>57750</v>
      </c>
      <c r="H2358" s="73"/>
    </row>
    <row r="2359" spans="1:8" ht="17.2" customHeight="1" x14ac:dyDescent="0.3">
      <c r="A2359" s="63"/>
      <c r="B2359" s="546" t="s">
        <v>325</v>
      </c>
      <c r="C2359" s="547"/>
      <c r="D2359" s="270" t="s">
        <v>180</v>
      </c>
      <c r="E2359" s="94">
        <v>4.5</v>
      </c>
      <c r="F2359" s="95">
        <v>2000</v>
      </c>
      <c r="G2359" s="67">
        <f t="shared" ref="G2359:G2360" si="31">ROUND(E2359*F2359,2)</f>
        <v>9000</v>
      </c>
      <c r="H2359" s="73"/>
    </row>
    <row r="2360" spans="1:8" ht="17.2" customHeight="1" x14ac:dyDescent="0.3">
      <c r="A2360" s="63"/>
      <c r="B2360" s="546" t="s">
        <v>326</v>
      </c>
      <c r="C2360" s="547"/>
      <c r="D2360" s="270" t="s">
        <v>180</v>
      </c>
      <c r="E2360" s="94">
        <v>0.2</v>
      </c>
      <c r="F2360" s="95">
        <v>15000</v>
      </c>
      <c r="G2360" s="67">
        <f t="shared" si="31"/>
        <v>3000</v>
      </c>
      <c r="H2360" s="73"/>
    </row>
    <row r="2361" spans="1:8" ht="17.2" customHeight="1" x14ac:dyDescent="0.3">
      <c r="A2361" s="63"/>
      <c r="B2361" s="523"/>
      <c r="C2361" s="524"/>
      <c r="D2361" s="93"/>
      <c r="E2361" s="94"/>
      <c r="F2361" s="95"/>
      <c r="G2361" s="67"/>
      <c r="H2361" s="73"/>
    </row>
    <row r="2362" spans="1:8" ht="17.2" customHeight="1" x14ac:dyDescent="0.3">
      <c r="A2362" s="70" t="s">
        <v>46</v>
      </c>
      <c r="E2362" s="71" t="s">
        <v>47</v>
      </c>
      <c r="F2362" s="71"/>
      <c r="G2362" s="71"/>
      <c r="H2362" s="76">
        <f>ROUND(SUM(G2358:G2361),2)</f>
        <v>69750</v>
      </c>
    </row>
    <row r="2363" spans="1:8" ht="13.75" customHeight="1" x14ac:dyDescent="0.3">
      <c r="A2363" s="61" t="s">
        <v>48</v>
      </c>
      <c r="B2363" s="525" t="s">
        <v>49</v>
      </c>
      <c r="C2363" s="526"/>
      <c r="D2363" s="526"/>
      <c r="E2363" s="526"/>
      <c r="F2363" s="526"/>
      <c r="G2363" s="527"/>
      <c r="H2363" s="73"/>
    </row>
    <row r="2364" spans="1:8" ht="17.2" customHeight="1" x14ac:dyDescent="0.3">
      <c r="A2364" s="62" t="s">
        <v>50</v>
      </c>
      <c r="B2364" s="62" t="s">
        <v>34</v>
      </c>
      <c r="C2364" s="62" t="s">
        <v>51</v>
      </c>
      <c r="D2364" s="62" t="s">
        <v>52</v>
      </c>
      <c r="E2364" s="74" t="s">
        <v>53</v>
      </c>
      <c r="F2364" s="64" t="s">
        <v>186</v>
      </c>
      <c r="G2364" s="64" t="s">
        <v>38</v>
      </c>
      <c r="H2364" s="73"/>
    </row>
    <row r="2365" spans="1:8" ht="17.2" customHeight="1" x14ac:dyDescent="0.3">
      <c r="A2365" s="62">
        <v>1</v>
      </c>
      <c r="B2365" s="63" t="s">
        <v>79</v>
      </c>
      <c r="C2365" s="77">
        <v>120000</v>
      </c>
      <c r="D2365" s="78">
        <v>0.75</v>
      </c>
      <c r="E2365" s="79">
        <f>+(A2365*C2365)+(A2365*C2365*D2365)</f>
        <v>210000</v>
      </c>
      <c r="F2365" s="75">
        <v>20</v>
      </c>
      <c r="G2365" s="65">
        <f>ROUND(E2365/(F2365),2)</f>
        <v>10500</v>
      </c>
      <c r="H2365" s="73"/>
    </row>
    <row r="2366" spans="1:8" ht="17.2" customHeight="1" x14ac:dyDescent="0.3">
      <c r="A2366" s="62">
        <v>2</v>
      </c>
      <c r="B2366" s="63" t="s">
        <v>80</v>
      </c>
      <c r="C2366" s="77">
        <v>70000</v>
      </c>
      <c r="D2366" s="78">
        <v>0.75</v>
      </c>
      <c r="E2366" s="79">
        <f>+(A2366*C2366)+(A2366*C2366*D2366)</f>
        <v>245000</v>
      </c>
      <c r="F2366" s="75">
        <v>20</v>
      </c>
      <c r="G2366" s="65">
        <f>ROUND(E2366/(F2366),2)</f>
        <v>12250</v>
      </c>
      <c r="H2366" s="73"/>
    </row>
    <row r="2367" spans="1:8" ht="17.2" customHeight="1" x14ac:dyDescent="0.3">
      <c r="A2367" s="63"/>
      <c r="B2367" s="63"/>
      <c r="C2367" s="63"/>
      <c r="D2367" s="63"/>
      <c r="E2367" s="64"/>
      <c r="F2367" s="64"/>
      <c r="G2367" s="64"/>
      <c r="H2367" s="73"/>
    </row>
    <row r="2368" spans="1:8" ht="17.2" customHeight="1" x14ac:dyDescent="0.3">
      <c r="A2368" s="70"/>
      <c r="E2368" s="71" t="s">
        <v>54</v>
      </c>
      <c r="F2368" s="71"/>
      <c r="G2368" s="71"/>
      <c r="H2368" s="72">
        <f>ROUND(SUM(G2365)+(G2366),2)</f>
        <v>22750</v>
      </c>
    </row>
    <row r="2369" spans="1:8" ht="17.2" customHeight="1" x14ac:dyDescent="0.3">
      <c r="A2369" s="61" t="s">
        <v>55</v>
      </c>
      <c r="B2369" s="525" t="s">
        <v>56</v>
      </c>
      <c r="C2369" s="526"/>
      <c r="D2369" s="526"/>
      <c r="E2369" s="526"/>
      <c r="F2369" s="526"/>
      <c r="G2369" s="527"/>
      <c r="H2369" s="73"/>
    </row>
    <row r="2370" spans="1:8" ht="17.2" customHeight="1" x14ac:dyDescent="0.3">
      <c r="A2370" s="63"/>
      <c r="B2370" s="63" t="s">
        <v>34</v>
      </c>
      <c r="C2370" s="62" t="s">
        <v>43</v>
      </c>
      <c r="D2370" s="62" t="s">
        <v>57</v>
      </c>
      <c r="E2370" s="62" t="s">
        <v>58</v>
      </c>
      <c r="F2370" s="62"/>
      <c r="G2370" s="64" t="s">
        <v>59</v>
      </c>
      <c r="H2370" s="73"/>
    </row>
    <row r="2371" spans="1:8" ht="17.2" customHeight="1" x14ac:dyDescent="0.3">
      <c r="A2371" s="63"/>
      <c r="B2371" s="63" t="s">
        <v>82</v>
      </c>
      <c r="C2371" s="80" t="s">
        <v>83</v>
      </c>
      <c r="D2371" s="63">
        <v>5.0000000000000001E-3</v>
      </c>
      <c r="E2371" s="64">
        <v>50000</v>
      </c>
      <c r="F2371" s="64"/>
      <c r="G2371" s="64">
        <f>D2371*E2371</f>
        <v>250</v>
      </c>
      <c r="H2371" s="73"/>
    </row>
    <row r="2372" spans="1:8" ht="17.2" customHeight="1" x14ac:dyDescent="0.3">
      <c r="A2372" s="63"/>
      <c r="B2372" s="63"/>
      <c r="C2372" s="81"/>
      <c r="D2372" s="63"/>
      <c r="E2372" s="64"/>
      <c r="F2372" s="64"/>
      <c r="G2372" s="64"/>
      <c r="H2372" s="73"/>
    </row>
    <row r="2373" spans="1:8" ht="17.2" customHeight="1" x14ac:dyDescent="0.3">
      <c r="A2373" s="63"/>
      <c r="B2373" s="63"/>
      <c r="C2373" s="63"/>
      <c r="D2373" s="63"/>
      <c r="E2373" s="64"/>
      <c r="F2373" s="64"/>
      <c r="G2373" s="64"/>
      <c r="H2373" s="73"/>
    </row>
    <row r="2374" spans="1:8" ht="17.2" customHeight="1" x14ac:dyDescent="0.3">
      <c r="A2374" s="70"/>
      <c r="E2374" s="71" t="s">
        <v>54</v>
      </c>
      <c r="F2374" s="71"/>
      <c r="G2374" s="71"/>
      <c r="H2374" s="119">
        <f>ROUND(SUM(G2371)+(G2372),0)</f>
        <v>250</v>
      </c>
    </row>
    <row r="2375" spans="1:8" ht="17.2" customHeight="1" x14ac:dyDescent="0.3">
      <c r="A2375" s="59"/>
      <c r="E2375" s="71"/>
      <c r="F2375" s="71"/>
      <c r="G2375" s="71"/>
      <c r="H2375" s="73"/>
    </row>
    <row r="2376" spans="1:8" ht="17.2" customHeight="1" x14ac:dyDescent="0.3">
      <c r="A2376" s="59"/>
      <c r="D2376" s="82" t="s">
        <v>60</v>
      </c>
      <c r="E2376" s="83"/>
      <c r="F2376" s="83"/>
      <c r="G2376" s="83"/>
      <c r="H2376" s="72">
        <f>ROUND(SUM(H2355:H2375),2)</f>
        <v>95250</v>
      </c>
    </row>
    <row r="2377" spans="1:8" ht="17.2" customHeight="1" x14ac:dyDescent="0.3">
      <c r="A2377" s="59"/>
      <c r="E2377" s="71"/>
      <c r="F2377" s="71"/>
      <c r="G2377" s="71"/>
      <c r="H2377" s="73"/>
    </row>
    <row r="2378" spans="1:8" ht="17.2" customHeight="1" x14ac:dyDescent="0.3">
      <c r="A2378" s="61" t="s">
        <v>61</v>
      </c>
      <c r="B2378" s="525" t="s">
        <v>62</v>
      </c>
      <c r="C2378" s="526"/>
      <c r="D2378" s="526"/>
      <c r="E2378" s="526"/>
      <c r="F2378" s="526"/>
      <c r="G2378" s="527"/>
      <c r="H2378" s="73"/>
    </row>
    <row r="2379" spans="1:8" ht="17.2" customHeight="1" x14ac:dyDescent="0.3">
      <c r="A2379" s="62"/>
      <c r="B2379" s="518" t="s">
        <v>34</v>
      </c>
      <c r="C2379" s="519"/>
      <c r="D2379" s="518" t="s">
        <v>63</v>
      </c>
      <c r="E2379" s="519"/>
      <c r="F2379" s="528" t="s">
        <v>64</v>
      </c>
      <c r="G2379" s="529"/>
      <c r="H2379" s="73"/>
    </row>
    <row r="2380" spans="1:8" ht="17.2" customHeight="1" x14ac:dyDescent="0.3">
      <c r="A2380" s="63"/>
      <c r="B2380" s="518" t="s">
        <v>20</v>
      </c>
      <c r="C2380" s="519"/>
      <c r="D2380" s="520">
        <v>0.28000000000000003</v>
      </c>
      <c r="E2380" s="519"/>
      <c r="F2380" s="521">
        <f>+H2376*D2380</f>
        <v>26670.000000000004</v>
      </c>
      <c r="G2380" s="522"/>
      <c r="H2380" s="73"/>
    </row>
    <row r="2381" spans="1:8" ht="17.2" customHeight="1" x14ac:dyDescent="0.3">
      <c r="A2381" s="63"/>
      <c r="B2381" s="518" t="s">
        <v>21</v>
      </c>
      <c r="C2381" s="519"/>
      <c r="D2381" s="520">
        <v>0.01</v>
      </c>
      <c r="E2381" s="519"/>
      <c r="F2381" s="521">
        <f>+H2376*D2381</f>
        <v>952.5</v>
      </c>
      <c r="G2381" s="522"/>
      <c r="H2381" s="73"/>
    </row>
    <row r="2382" spans="1:8" ht="17.2" customHeight="1" x14ac:dyDescent="0.3">
      <c r="A2382" s="63"/>
      <c r="B2382" s="518" t="s">
        <v>22</v>
      </c>
      <c r="C2382" s="519"/>
      <c r="D2382" s="520">
        <v>0.03</v>
      </c>
      <c r="E2382" s="519"/>
      <c r="F2382" s="521">
        <f>+H2376*D2382</f>
        <v>2857.5</v>
      </c>
      <c r="G2382" s="522"/>
      <c r="H2382" s="73"/>
    </row>
    <row r="2383" spans="1:8" ht="17.2" customHeight="1" x14ac:dyDescent="0.3">
      <c r="A2383" s="63"/>
      <c r="B2383" s="518" t="s">
        <v>188</v>
      </c>
      <c r="C2383" s="519"/>
      <c r="D2383" s="520">
        <v>0.19</v>
      </c>
      <c r="E2383" s="519"/>
      <c r="F2383" s="521">
        <f>D2383*F2382</f>
        <v>542.92499999999995</v>
      </c>
      <c r="G2383" s="522"/>
      <c r="H2383" s="73"/>
    </row>
    <row r="2384" spans="1:8" ht="17.2" customHeight="1" x14ac:dyDescent="0.3">
      <c r="A2384" s="59"/>
      <c r="D2384" s="82" t="s">
        <v>65</v>
      </c>
      <c r="E2384" s="83"/>
      <c r="F2384" s="83"/>
      <c r="G2384" s="83"/>
      <c r="H2384" s="72">
        <f>SUM(F2380:G2383)</f>
        <v>31022.925000000003</v>
      </c>
    </row>
    <row r="2385" spans="1:8" ht="17.2" customHeight="1" x14ac:dyDescent="0.3">
      <c r="A2385" s="59"/>
      <c r="E2385" s="71"/>
      <c r="F2385" s="71"/>
      <c r="G2385" s="71"/>
      <c r="H2385" s="73"/>
    </row>
    <row r="2386" spans="1:8" ht="17.2" customHeight="1" x14ac:dyDescent="0.3">
      <c r="A2386" s="59"/>
      <c r="D2386" s="82" t="s">
        <v>66</v>
      </c>
      <c r="E2386" s="83"/>
      <c r="F2386" s="83"/>
      <c r="G2386" s="71"/>
      <c r="H2386" s="72">
        <f>H2376+H2384</f>
        <v>126272.925</v>
      </c>
    </row>
    <row r="2387" spans="1:8" ht="17.2" customHeight="1" x14ac:dyDescent="0.3">
      <c r="A2387" s="59"/>
      <c r="D2387" s="82"/>
      <c r="E2387" s="83"/>
      <c r="F2387" s="83"/>
      <c r="G2387" s="71"/>
      <c r="H2387" s="73"/>
    </row>
    <row r="2388" spans="1:8" ht="17.2" customHeight="1" x14ac:dyDescent="0.3">
      <c r="A2388" s="59"/>
      <c r="E2388" s="83"/>
      <c r="F2388" s="83"/>
      <c r="G2388" s="71"/>
      <c r="H2388" s="73"/>
    </row>
    <row r="2389" spans="1:8" ht="17.2" customHeight="1" x14ac:dyDescent="0.3">
      <c r="A2389" s="84"/>
      <c r="B2389" s="85"/>
      <c r="E2389" s="46"/>
      <c r="F2389" s="47"/>
      <c r="G2389" s="48"/>
      <c r="H2389" s="73"/>
    </row>
    <row r="2390" spans="1:8" ht="17.2" customHeight="1" x14ac:dyDescent="0.3">
      <c r="A2390" s="86" t="s">
        <v>67</v>
      </c>
      <c r="B2390" s="50" t="s">
        <v>68</v>
      </c>
      <c r="E2390" s="49" t="s">
        <v>27</v>
      </c>
      <c r="F2390" s="50"/>
      <c r="G2390" s="50"/>
      <c r="H2390" s="87"/>
    </row>
    <row r="2391" spans="1:8" ht="17.2" customHeight="1" x14ac:dyDescent="0.3">
      <c r="A2391" s="88" t="s">
        <v>28</v>
      </c>
      <c r="B2391" s="50"/>
      <c r="E2391" s="50" t="str">
        <f ca="1">+$E$52</f>
        <v>SECRETARIO DE PLANEACION Y OBRAS PUBLICAS</v>
      </c>
      <c r="F2391" s="50"/>
      <c r="G2391" s="50"/>
      <c r="H2391" s="87"/>
    </row>
    <row r="2392" spans="1:8" ht="17.2" customHeight="1" x14ac:dyDescent="0.3">
      <c r="A2392" s="88"/>
      <c r="B2392" s="50"/>
      <c r="E2392" s="50" t="str">
        <f ca="1">+$E$53</f>
        <v>SAN MIGUEL - PUTUMAYO</v>
      </c>
      <c r="F2392" s="50"/>
      <c r="G2392" s="50"/>
      <c r="H2392" s="87"/>
    </row>
    <row r="2393" spans="1:8" ht="17.2" customHeight="1" x14ac:dyDescent="0.3">
      <c r="A2393" s="50"/>
      <c r="B2393" s="50"/>
      <c r="E2393" s="50"/>
      <c r="F2393" s="50"/>
      <c r="G2393" s="50"/>
      <c r="H2393" s="50"/>
    </row>
    <row r="2394" spans="1:8" ht="17.2" customHeight="1" x14ac:dyDescent="0.3">
      <c r="A2394" s="556"/>
      <c r="B2394" s="557"/>
      <c r="C2394" s="380" t="s">
        <v>2</v>
      </c>
      <c r="D2394" s="382" t="s">
        <v>3</v>
      </c>
      <c r="E2394" s="383"/>
      <c r="F2394" s="1">
        <v>103</v>
      </c>
      <c r="G2394" s="548"/>
      <c r="H2394" s="549"/>
    </row>
    <row r="2395" spans="1:8" ht="17.2" customHeight="1" x14ac:dyDescent="0.3">
      <c r="A2395" s="558"/>
      <c r="B2395" s="559"/>
      <c r="C2395" s="381"/>
      <c r="D2395" s="396" t="s">
        <v>4</v>
      </c>
      <c r="E2395" s="397"/>
      <c r="F2395" s="400">
        <v>51</v>
      </c>
      <c r="G2395" s="550"/>
      <c r="H2395" s="551"/>
    </row>
    <row r="2396" spans="1:8" ht="17.2" customHeight="1" x14ac:dyDescent="0.3">
      <c r="A2396" s="558"/>
      <c r="B2396" s="559"/>
      <c r="C2396" s="5" t="s">
        <v>5</v>
      </c>
      <c r="D2396" s="398"/>
      <c r="E2396" s="399"/>
      <c r="F2396" s="401"/>
      <c r="G2396" s="550"/>
      <c r="H2396" s="551"/>
    </row>
    <row r="2397" spans="1:8" ht="17.2" customHeight="1" x14ac:dyDescent="0.3">
      <c r="A2397" s="558"/>
      <c r="B2397" s="559"/>
      <c r="C2397" s="55" t="s">
        <v>6</v>
      </c>
      <c r="D2397" s="402" t="s">
        <v>7</v>
      </c>
      <c r="E2397" s="403"/>
      <c r="F2397" s="7">
        <v>1</v>
      </c>
      <c r="G2397" s="550"/>
      <c r="H2397" s="551"/>
    </row>
    <row r="2398" spans="1:8" ht="17.2" customHeight="1" x14ac:dyDescent="0.3">
      <c r="A2398" s="558"/>
      <c r="B2398" s="559"/>
      <c r="C2398" s="530" t="s">
        <v>8</v>
      </c>
      <c r="D2398" s="532" t="s">
        <v>9</v>
      </c>
      <c r="E2398" s="533"/>
      <c r="F2398" s="5" t="s">
        <v>10</v>
      </c>
      <c r="G2398" s="550"/>
      <c r="H2398" s="551"/>
    </row>
    <row r="2399" spans="1:8" ht="18.2" customHeight="1" x14ac:dyDescent="0.3">
      <c r="A2399" s="560"/>
      <c r="B2399" s="561"/>
      <c r="C2399" s="531"/>
      <c r="D2399" s="534"/>
      <c r="E2399" s="535"/>
      <c r="F2399" s="8">
        <f>$F$6</f>
        <v>45402</v>
      </c>
      <c r="G2399" s="552"/>
      <c r="H2399" s="553"/>
    </row>
    <row r="2400" spans="1:8" ht="18.2" customHeight="1" thickBot="1" x14ac:dyDescent="0.35">
      <c r="A2400" s="536"/>
      <c r="B2400" s="537"/>
      <c r="C2400" s="537"/>
      <c r="D2400" s="537"/>
      <c r="E2400" s="537"/>
      <c r="F2400" s="537"/>
      <c r="G2400" s="537"/>
      <c r="H2400" s="538"/>
    </row>
    <row r="2401" spans="1:8" ht="17.2" customHeight="1" thickBot="1" x14ac:dyDescent="0.35">
      <c r="A2401" s="92">
        <v>6.9</v>
      </c>
      <c r="B2401" s="539" t="str">
        <f>VLOOKUP(A2401,PRESUPUESTO!$A$14:$G$71,2,)</f>
        <v>Guardaescoba ceramica h=7cm</v>
      </c>
      <c r="C2401" s="540"/>
      <c r="D2401" s="540"/>
      <c r="E2401" s="540"/>
      <c r="F2401" s="541"/>
      <c r="G2401" s="57" t="s">
        <v>31</v>
      </c>
      <c r="H2401" s="58" t="str">
        <f>VLOOKUP(A2401,PRESUPUESTO!$A$14:$G$71,4,)</f>
        <v>ML</v>
      </c>
    </row>
    <row r="2402" spans="1:8" ht="17.2" customHeight="1" x14ac:dyDescent="0.3">
      <c r="A2402" s="59"/>
      <c r="H2402" s="60"/>
    </row>
    <row r="2403" spans="1:8" ht="17.2" customHeight="1" x14ac:dyDescent="0.3">
      <c r="A2403" s="61" t="s">
        <v>32</v>
      </c>
      <c r="B2403" s="525" t="s">
        <v>33</v>
      </c>
      <c r="C2403" s="526"/>
      <c r="D2403" s="526"/>
      <c r="E2403" s="526"/>
      <c r="F2403" s="526"/>
      <c r="G2403" s="527"/>
      <c r="H2403" s="60"/>
    </row>
    <row r="2404" spans="1:8" ht="26.85" customHeight="1" x14ac:dyDescent="0.3">
      <c r="A2404" s="62"/>
      <c r="B2404" s="518" t="s">
        <v>34</v>
      </c>
      <c r="C2404" s="519"/>
      <c r="D2404" s="62" t="s">
        <v>35</v>
      </c>
      <c r="E2404" s="62" t="s">
        <v>69</v>
      </c>
      <c r="F2404" s="62" t="s">
        <v>70</v>
      </c>
      <c r="G2404" s="62" t="s">
        <v>38</v>
      </c>
      <c r="H2404" s="60"/>
    </row>
    <row r="2405" spans="1:8" ht="17.2" customHeight="1" x14ac:dyDescent="0.3">
      <c r="A2405" s="63"/>
      <c r="B2405" s="542" t="s">
        <v>39</v>
      </c>
      <c r="C2405" s="543"/>
      <c r="D2405" s="63"/>
      <c r="E2405" s="64"/>
      <c r="F2405" s="64">
        <v>0.1</v>
      </c>
      <c r="G2405" s="65">
        <f>ROUND(H2422*F2405,2)</f>
        <v>1011.11</v>
      </c>
      <c r="H2405" s="66"/>
    </row>
    <row r="2406" spans="1:8" ht="17.2" customHeight="1" x14ac:dyDescent="0.3">
      <c r="A2406" s="63"/>
      <c r="B2406" s="542"/>
      <c r="C2406" s="543"/>
      <c r="D2406" s="62"/>
      <c r="E2406" s="68"/>
      <c r="F2406" s="64"/>
      <c r="G2406" s="69"/>
      <c r="H2406" s="66"/>
    </row>
    <row r="2407" spans="1:8" ht="17.2" customHeight="1" x14ac:dyDescent="0.3">
      <c r="A2407" s="70"/>
      <c r="E2407" s="71" t="s">
        <v>40</v>
      </c>
      <c r="F2407" s="71"/>
      <c r="G2407" s="71"/>
      <c r="H2407" s="72">
        <f>ROUND(SUM(G2405:G2406),2)</f>
        <v>1011.11</v>
      </c>
    </row>
    <row r="2408" spans="1:8" ht="28.15" customHeight="1" x14ac:dyDescent="0.3">
      <c r="A2408" s="61" t="s">
        <v>41</v>
      </c>
      <c r="B2408" s="525" t="s">
        <v>42</v>
      </c>
      <c r="C2408" s="526"/>
      <c r="D2408" s="526"/>
      <c r="E2408" s="526"/>
      <c r="F2408" s="526"/>
      <c r="G2408" s="527"/>
      <c r="H2408" s="73"/>
    </row>
    <row r="2409" spans="1:8" ht="17.2" customHeight="1" x14ac:dyDescent="0.3">
      <c r="A2409" s="62"/>
      <c r="B2409" s="518" t="s">
        <v>34</v>
      </c>
      <c r="C2409" s="519"/>
      <c r="D2409" s="63" t="s">
        <v>43</v>
      </c>
      <c r="E2409" s="74" t="s">
        <v>44</v>
      </c>
      <c r="F2409" s="74" t="s">
        <v>45</v>
      </c>
      <c r="G2409" s="74" t="s">
        <v>38</v>
      </c>
      <c r="H2409" s="73"/>
    </row>
    <row r="2410" spans="1:8" ht="17.2" customHeight="1" x14ac:dyDescent="0.3">
      <c r="A2410" s="63"/>
      <c r="B2410" s="544" t="s">
        <v>327</v>
      </c>
      <c r="C2410" s="545"/>
      <c r="D2410" s="270" t="s">
        <v>211</v>
      </c>
      <c r="E2410" s="94">
        <v>1</v>
      </c>
      <c r="F2410" s="95">
        <v>13000</v>
      </c>
      <c r="G2410" s="120">
        <f>ROUND(E2410*F2410,2)</f>
        <v>13000</v>
      </c>
      <c r="H2410" s="73"/>
    </row>
    <row r="2411" spans="1:8" ht="17.2" customHeight="1" x14ac:dyDescent="0.3">
      <c r="A2411" s="63"/>
      <c r="B2411" s="546" t="s">
        <v>325</v>
      </c>
      <c r="C2411" s="547"/>
      <c r="D2411" s="270" t="s">
        <v>180</v>
      </c>
      <c r="E2411" s="94">
        <v>0.35</v>
      </c>
      <c r="F2411" s="95">
        <v>2000</v>
      </c>
      <c r="G2411" s="67">
        <f t="shared" ref="G2411:G2412" si="32">ROUND(E2411*F2411,2)</f>
        <v>700</v>
      </c>
      <c r="H2411" s="73"/>
    </row>
    <row r="2412" spans="1:8" ht="17.2" customHeight="1" x14ac:dyDescent="0.3">
      <c r="A2412" s="63"/>
      <c r="B2412" s="546" t="s">
        <v>326</v>
      </c>
      <c r="C2412" s="547"/>
      <c r="D2412" s="270" t="s">
        <v>180</v>
      </c>
      <c r="E2412" s="94">
        <v>0.03</v>
      </c>
      <c r="F2412" s="95">
        <v>15000</v>
      </c>
      <c r="G2412" s="67">
        <f t="shared" si="32"/>
        <v>450</v>
      </c>
      <c r="H2412" s="73"/>
    </row>
    <row r="2413" spans="1:8" ht="17.2" customHeight="1" x14ac:dyDescent="0.3">
      <c r="A2413" s="63"/>
      <c r="B2413" s="523"/>
      <c r="C2413" s="524"/>
      <c r="D2413" s="93"/>
      <c r="E2413" s="94"/>
      <c r="F2413" s="95"/>
      <c r="G2413" s="67"/>
      <c r="H2413" s="73"/>
    </row>
    <row r="2414" spans="1:8" ht="17.2" customHeight="1" x14ac:dyDescent="0.3">
      <c r="A2414" s="63"/>
      <c r="B2414" s="523"/>
      <c r="C2414" s="524"/>
      <c r="D2414" s="93"/>
      <c r="E2414" s="94"/>
      <c r="F2414" s="95"/>
      <c r="G2414" s="67"/>
      <c r="H2414" s="73"/>
    </row>
    <row r="2415" spans="1:8" ht="17.2" customHeight="1" x14ac:dyDescent="0.3">
      <c r="A2415" s="63"/>
      <c r="B2415" s="523"/>
      <c r="C2415" s="524"/>
      <c r="D2415" s="93"/>
      <c r="E2415" s="94"/>
      <c r="F2415" s="95"/>
      <c r="G2415" s="67"/>
      <c r="H2415" s="73"/>
    </row>
    <row r="2416" spans="1:8" ht="17.2" customHeight="1" x14ac:dyDescent="0.3">
      <c r="A2416" s="70" t="s">
        <v>46</v>
      </c>
      <c r="E2416" s="71" t="s">
        <v>47</v>
      </c>
      <c r="F2416" s="71"/>
      <c r="G2416" s="71"/>
      <c r="H2416" s="76">
        <f>ROUND(SUM(G2410:G2415),2)</f>
        <v>14150</v>
      </c>
    </row>
    <row r="2417" spans="1:8" ht="13.75" customHeight="1" x14ac:dyDescent="0.3">
      <c r="A2417" s="61" t="s">
        <v>48</v>
      </c>
      <c r="B2417" s="525" t="s">
        <v>49</v>
      </c>
      <c r="C2417" s="526"/>
      <c r="D2417" s="526"/>
      <c r="E2417" s="526"/>
      <c r="F2417" s="526"/>
      <c r="G2417" s="527"/>
      <c r="H2417" s="73"/>
    </row>
    <row r="2418" spans="1:8" ht="17.2" customHeight="1" x14ac:dyDescent="0.3">
      <c r="A2418" s="62" t="s">
        <v>50</v>
      </c>
      <c r="B2418" s="62" t="s">
        <v>34</v>
      </c>
      <c r="C2418" s="62" t="s">
        <v>51</v>
      </c>
      <c r="D2418" s="62" t="s">
        <v>52</v>
      </c>
      <c r="E2418" s="74" t="s">
        <v>53</v>
      </c>
      <c r="F2418" s="64" t="s">
        <v>310</v>
      </c>
      <c r="G2418" s="64" t="s">
        <v>38</v>
      </c>
      <c r="H2418" s="73"/>
    </row>
    <row r="2419" spans="1:8" ht="17.2" customHeight="1" x14ac:dyDescent="0.3">
      <c r="A2419" s="62">
        <v>1</v>
      </c>
      <c r="B2419" s="63" t="s">
        <v>79</v>
      </c>
      <c r="C2419" s="77">
        <v>120000</v>
      </c>
      <c r="D2419" s="78">
        <v>0.75</v>
      </c>
      <c r="E2419" s="79">
        <f>+(A2419*C2419)+(A2419*C2419*D2419)</f>
        <v>210000</v>
      </c>
      <c r="F2419" s="75">
        <v>45</v>
      </c>
      <c r="G2419" s="65">
        <f>ROUND(E2419/(F2419),2)</f>
        <v>4666.67</v>
      </c>
      <c r="H2419" s="73"/>
    </row>
    <row r="2420" spans="1:8" ht="17.2" customHeight="1" x14ac:dyDescent="0.3">
      <c r="A2420" s="62">
        <v>2</v>
      </c>
      <c r="B2420" s="63" t="s">
        <v>80</v>
      </c>
      <c r="C2420" s="77">
        <v>70000</v>
      </c>
      <c r="D2420" s="78">
        <v>0.75</v>
      </c>
      <c r="E2420" s="79">
        <f>+(A2420*C2420)+(A2420*C2420*D2420)</f>
        <v>245000</v>
      </c>
      <c r="F2420" s="75">
        <v>45</v>
      </c>
      <c r="G2420" s="65">
        <f>ROUND(E2420/(F2420),2)</f>
        <v>5444.44</v>
      </c>
      <c r="H2420" s="73"/>
    </row>
    <row r="2421" spans="1:8" ht="17.2" customHeight="1" x14ac:dyDescent="0.3">
      <c r="A2421" s="63"/>
      <c r="B2421" s="63"/>
      <c r="C2421" s="63"/>
      <c r="D2421" s="63"/>
      <c r="E2421" s="64"/>
      <c r="F2421" s="64"/>
      <c r="G2421" s="64"/>
      <c r="H2421" s="73"/>
    </row>
    <row r="2422" spans="1:8" ht="17.2" customHeight="1" x14ac:dyDescent="0.3">
      <c r="A2422" s="70"/>
      <c r="E2422" s="71" t="s">
        <v>54</v>
      </c>
      <c r="F2422" s="71"/>
      <c r="G2422" s="71"/>
      <c r="H2422" s="72">
        <f>ROUND(SUM(G2419)+(G2420),2)</f>
        <v>10111.11</v>
      </c>
    </row>
    <row r="2423" spans="1:8" ht="17.2" customHeight="1" x14ac:dyDescent="0.3">
      <c r="A2423" s="61" t="s">
        <v>55</v>
      </c>
      <c r="B2423" s="525" t="s">
        <v>56</v>
      </c>
      <c r="C2423" s="526"/>
      <c r="D2423" s="526"/>
      <c r="E2423" s="526"/>
      <c r="F2423" s="526"/>
      <c r="G2423" s="527"/>
      <c r="H2423" s="73"/>
    </row>
    <row r="2424" spans="1:8" ht="17.2" customHeight="1" x14ac:dyDescent="0.3">
      <c r="A2424" s="63"/>
      <c r="B2424" s="63" t="s">
        <v>34</v>
      </c>
      <c r="C2424" s="62" t="s">
        <v>43</v>
      </c>
      <c r="D2424" s="62" t="s">
        <v>57</v>
      </c>
      <c r="E2424" s="62" t="s">
        <v>58</v>
      </c>
      <c r="F2424" s="62"/>
      <c r="G2424" s="64" t="s">
        <v>59</v>
      </c>
      <c r="H2424" s="73"/>
    </row>
    <row r="2425" spans="1:8" ht="17.2" customHeight="1" x14ac:dyDescent="0.3">
      <c r="A2425" s="63"/>
      <c r="B2425" s="63" t="s">
        <v>82</v>
      </c>
      <c r="C2425" s="80" t="s">
        <v>83</v>
      </c>
      <c r="D2425" s="63">
        <v>5.0000000000000001E-3</v>
      </c>
      <c r="E2425" s="64">
        <v>50000</v>
      </c>
      <c r="F2425" s="64"/>
      <c r="G2425" s="64">
        <f>D2425*E2425</f>
        <v>250</v>
      </c>
      <c r="H2425" s="73"/>
    </row>
    <row r="2426" spans="1:8" ht="17.2" customHeight="1" x14ac:dyDescent="0.3">
      <c r="A2426" s="63"/>
      <c r="B2426" s="63"/>
      <c r="C2426" s="81"/>
      <c r="D2426" s="63"/>
      <c r="E2426" s="64"/>
      <c r="F2426" s="64"/>
      <c r="G2426" s="64"/>
      <c r="H2426" s="73"/>
    </row>
    <row r="2427" spans="1:8" ht="17.2" customHeight="1" x14ac:dyDescent="0.3">
      <c r="A2427" s="63"/>
      <c r="B2427" s="63"/>
      <c r="C2427" s="63"/>
      <c r="D2427" s="63"/>
      <c r="E2427" s="64"/>
      <c r="F2427" s="64"/>
      <c r="G2427" s="64"/>
      <c r="H2427" s="73"/>
    </row>
    <row r="2428" spans="1:8" ht="17.2" customHeight="1" x14ac:dyDescent="0.3">
      <c r="A2428" s="70"/>
      <c r="E2428" s="71" t="s">
        <v>54</v>
      </c>
      <c r="F2428" s="71"/>
      <c r="G2428" s="71"/>
      <c r="H2428" s="119">
        <f>ROUND(SUM(G2425)+(G2426),0)</f>
        <v>250</v>
      </c>
    </row>
    <row r="2429" spans="1:8" ht="17.2" customHeight="1" x14ac:dyDescent="0.3">
      <c r="A2429" s="59"/>
      <c r="E2429" s="71"/>
      <c r="F2429" s="71"/>
      <c r="G2429" s="71"/>
      <c r="H2429" s="73"/>
    </row>
    <row r="2430" spans="1:8" ht="17.2" customHeight="1" x14ac:dyDescent="0.3">
      <c r="A2430" s="59"/>
      <c r="D2430" s="82" t="s">
        <v>60</v>
      </c>
      <c r="E2430" s="83"/>
      <c r="F2430" s="83"/>
      <c r="G2430" s="83"/>
      <c r="H2430" s="72">
        <f>ROUND(SUM(H2407:H2429),2)</f>
        <v>25522.22</v>
      </c>
    </row>
    <row r="2431" spans="1:8" ht="17.2" customHeight="1" x14ac:dyDescent="0.3">
      <c r="A2431" s="59"/>
      <c r="E2431" s="71"/>
      <c r="F2431" s="71"/>
      <c r="G2431" s="71"/>
      <c r="H2431" s="73"/>
    </row>
    <row r="2432" spans="1:8" ht="17.2" customHeight="1" x14ac:dyDescent="0.3">
      <c r="A2432" s="61" t="s">
        <v>61</v>
      </c>
      <c r="B2432" s="525" t="s">
        <v>62</v>
      </c>
      <c r="C2432" s="526"/>
      <c r="D2432" s="526"/>
      <c r="E2432" s="526"/>
      <c r="F2432" s="526"/>
      <c r="G2432" s="527"/>
      <c r="H2432" s="73"/>
    </row>
    <row r="2433" spans="1:8" ht="17.2" customHeight="1" x14ac:dyDescent="0.3">
      <c r="A2433" s="62"/>
      <c r="B2433" s="518" t="s">
        <v>34</v>
      </c>
      <c r="C2433" s="519"/>
      <c r="D2433" s="518" t="s">
        <v>63</v>
      </c>
      <c r="E2433" s="519"/>
      <c r="F2433" s="528" t="s">
        <v>64</v>
      </c>
      <c r="G2433" s="529"/>
      <c r="H2433" s="73"/>
    </row>
    <row r="2434" spans="1:8" ht="17.2" customHeight="1" x14ac:dyDescent="0.3">
      <c r="A2434" s="63"/>
      <c r="B2434" s="518" t="s">
        <v>20</v>
      </c>
      <c r="C2434" s="519"/>
      <c r="D2434" s="520">
        <v>0.28000000000000003</v>
      </c>
      <c r="E2434" s="519"/>
      <c r="F2434" s="521">
        <f>+H2430*D2434</f>
        <v>7146.2216000000008</v>
      </c>
      <c r="G2434" s="522"/>
      <c r="H2434" s="73"/>
    </row>
    <row r="2435" spans="1:8" ht="17.2" customHeight="1" x14ac:dyDescent="0.3">
      <c r="A2435" s="63"/>
      <c r="B2435" s="518" t="s">
        <v>21</v>
      </c>
      <c r="C2435" s="519"/>
      <c r="D2435" s="520">
        <v>0.01</v>
      </c>
      <c r="E2435" s="519"/>
      <c r="F2435" s="521">
        <f>+H2430*D2435</f>
        <v>255.22220000000002</v>
      </c>
      <c r="G2435" s="522"/>
      <c r="H2435" s="73"/>
    </row>
    <row r="2436" spans="1:8" ht="17.2" customHeight="1" x14ac:dyDescent="0.3">
      <c r="A2436" s="63"/>
      <c r="B2436" s="518" t="s">
        <v>22</v>
      </c>
      <c r="C2436" s="519"/>
      <c r="D2436" s="520">
        <v>0.03</v>
      </c>
      <c r="E2436" s="519"/>
      <c r="F2436" s="521">
        <f>+H2430*D2436</f>
        <v>765.66660000000002</v>
      </c>
      <c r="G2436" s="522"/>
      <c r="H2436" s="73"/>
    </row>
    <row r="2437" spans="1:8" ht="17.2" customHeight="1" x14ac:dyDescent="0.3">
      <c r="A2437" s="63"/>
      <c r="B2437" s="518" t="s">
        <v>188</v>
      </c>
      <c r="C2437" s="519"/>
      <c r="D2437" s="520">
        <v>0.19</v>
      </c>
      <c r="E2437" s="519"/>
      <c r="F2437" s="521">
        <f>D2437*F2436</f>
        <v>145.476654</v>
      </c>
      <c r="G2437" s="522"/>
      <c r="H2437" s="73"/>
    </row>
    <row r="2438" spans="1:8" ht="17.2" customHeight="1" x14ac:dyDescent="0.3">
      <c r="A2438" s="59"/>
      <c r="D2438" s="82" t="s">
        <v>65</v>
      </c>
      <c r="E2438" s="83"/>
      <c r="F2438" s="83"/>
      <c r="G2438" s="83"/>
      <c r="H2438" s="72">
        <f>SUM(F2434:G2437)</f>
        <v>8312.5870540000014</v>
      </c>
    </row>
    <row r="2439" spans="1:8" ht="17.2" customHeight="1" x14ac:dyDescent="0.3">
      <c r="A2439" s="59"/>
      <c r="E2439" s="71"/>
      <c r="F2439" s="71"/>
      <c r="G2439" s="71"/>
      <c r="H2439" s="73"/>
    </row>
    <row r="2440" spans="1:8" ht="17.2" customHeight="1" x14ac:dyDescent="0.3">
      <c r="A2440" s="59"/>
      <c r="D2440" s="82" t="s">
        <v>66</v>
      </c>
      <c r="E2440" s="83"/>
      <c r="F2440" s="83"/>
      <c r="G2440" s="71"/>
      <c r="H2440" s="72">
        <f>H2430+H2438</f>
        <v>33834.807054000004</v>
      </c>
    </row>
    <row r="2441" spans="1:8" ht="17.2" customHeight="1" x14ac:dyDescent="0.3">
      <c r="A2441" s="59"/>
      <c r="D2441" s="82"/>
      <c r="E2441" s="83"/>
      <c r="F2441" s="83"/>
      <c r="G2441" s="71"/>
      <c r="H2441" s="72"/>
    </row>
    <row r="2442" spans="1:8" ht="17.2" customHeight="1" x14ac:dyDescent="0.3">
      <c r="A2442" s="59"/>
      <c r="D2442" s="82"/>
      <c r="E2442" s="83"/>
      <c r="F2442" s="83"/>
      <c r="G2442" s="71"/>
      <c r="H2442" s="72"/>
    </row>
    <row r="2443" spans="1:8" ht="17.2" customHeight="1" x14ac:dyDescent="0.3">
      <c r="A2443" s="84"/>
      <c r="B2443" s="85"/>
      <c r="E2443" s="46"/>
      <c r="F2443" s="47"/>
      <c r="G2443" s="48"/>
      <c r="H2443" s="73"/>
    </row>
    <row r="2444" spans="1:8" ht="17.2" customHeight="1" x14ac:dyDescent="0.3">
      <c r="A2444" s="86" t="s">
        <v>67</v>
      </c>
      <c r="B2444" s="50" t="s">
        <v>68</v>
      </c>
      <c r="E2444" s="49" t="s">
        <v>27</v>
      </c>
      <c r="F2444" s="50"/>
      <c r="G2444" s="50"/>
      <c r="H2444" s="87"/>
    </row>
    <row r="2445" spans="1:8" ht="17.2" customHeight="1" x14ac:dyDescent="0.3">
      <c r="A2445" s="88" t="s">
        <v>28</v>
      </c>
      <c r="B2445" s="50"/>
      <c r="E2445" s="50" t="str">
        <f ca="1">+$E$52</f>
        <v>SECRETARIO DE PLANEACION Y OBRAS PUBLICAS</v>
      </c>
      <c r="F2445" s="50"/>
      <c r="G2445" s="50"/>
      <c r="H2445" s="87"/>
    </row>
    <row r="2446" spans="1:8" ht="17.2" customHeight="1" x14ac:dyDescent="0.3">
      <c r="A2446" s="88"/>
      <c r="B2446" s="50"/>
      <c r="E2446" s="50" t="str">
        <f ca="1">+$E$53</f>
        <v>SAN MIGUEL - PUTUMAYO</v>
      </c>
      <c r="F2446" s="50"/>
      <c r="G2446" s="50"/>
      <c r="H2446" s="87"/>
    </row>
    <row r="2447" spans="1:8" ht="17.2" customHeight="1" x14ac:dyDescent="0.3">
      <c r="A2447" s="50"/>
      <c r="B2447" s="50"/>
      <c r="E2447" s="50"/>
      <c r="F2447" s="50"/>
      <c r="G2447" s="50"/>
      <c r="H2447" s="50"/>
    </row>
    <row r="2448" spans="1:8" ht="17.2" customHeight="1" x14ac:dyDescent="0.3">
      <c r="A2448" s="556"/>
      <c r="B2448" s="557"/>
      <c r="C2448" s="380" t="s">
        <v>2</v>
      </c>
      <c r="D2448" s="382" t="s">
        <v>3</v>
      </c>
      <c r="E2448" s="383"/>
      <c r="F2448" s="1">
        <v>103</v>
      </c>
      <c r="G2448" s="548"/>
      <c r="H2448" s="549"/>
    </row>
    <row r="2449" spans="1:8" ht="17.2" customHeight="1" x14ac:dyDescent="0.3">
      <c r="A2449" s="558"/>
      <c r="B2449" s="559"/>
      <c r="C2449" s="381"/>
      <c r="D2449" s="396" t="s">
        <v>4</v>
      </c>
      <c r="E2449" s="397"/>
      <c r="F2449" s="400">
        <v>51</v>
      </c>
      <c r="G2449" s="550"/>
      <c r="H2449" s="551"/>
    </row>
    <row r="2450" spans="1:8" ht="17.2" customHeight="1" x14ac:dyDescent="0.3">
      <c r="A2450" s="558"/>
      <c r="B2450" s="559"/>
      <c r="C2450" s="5" t="s">
        <v>5</v>
      </c>
      <c r="D2450" s="398"/>
      <c r="E2450" s="399"/>
      <c r="F2450" s="401"/>
      <c r="G2450" s="550"/>
      <c r="H2450" s="551"/>
    </row>
    <row r="2451" spans="1:8" ht="17.2" customHeight="1" x14ac:dyDescent="0.3">
      <c r="A2451" s="558"/>
      <c r="B2451" s="559"/>
      <c r="C2451" s="55" t="s">
        <v>6</v>
      </c>
      <c r="D2451" s="402" t="s">
        <v>7</v>
      </c>
      <c r="E2451" s="403"/>
      <c r="F2451" s="7">
        <v>1</v>
      </c>
      <c r="G2451" s="550"/>
      <c r="H2451" s="551"/>
    </row>
    <row r="2452" spans="1:8" ht="17.2" customHeight="1" x14ac:dyDescent="0.3">
      <c r="A2452" s="558"/>
      <c r="B2452" s="559"/>
      <c r="C2452" s="530" t="s">
        <v>8</v>
      </c>
      <c r="D2452" s="532" t="s">
        <v>9</v>
      </c>
      <c r="E2452" s="533"/>
      <c r="F2452" s="5" t="s">
        <v>10</v>
      </c>
      <c r="G2452" s="550"/>
      <c r="H2452" s="551"/>
    </row>
    <row r="2453" spans="1:8" ht="18.2" customHeight="1" x14ac:dyDescent="0.3">
      <c r="A2453" s="560"/>
      <c r="B2453" s="561"/>
      <c r="C2453" s="531"/>
      <c r="D2453" s="534"/>
      <c r="E2453" s="535"/>
      <c r="F2453" s="8">
        <f>$F$6</f>
        <v>45402</v>
      </c>
      <c r="G2453" s="552"/>
      <c r="H2453" s="553"/>
    </row>
    <row r="2454" spans="1:8" ht="17.2" customHeight="1" thickBot="1" x14ac:dyDescent="0.35">
      <c r="A2454" s="536"/>
      <c r="B2454" s="537"/>
      <c r="C2454" s="537"/>
      <c r="D2454" s="537"/>
      <c r="E2454" s="537"/>
      <c r="F2454" s="537"/>
      <c r="G2454" s="537"/>
      <c r="H2454" s="538"/>
    </row>
    <row r="2455" spans="1:8" ht="25.55" customHeight="1" thickBot="1" x14ac:dyDescent="0.35">
      <c r="A2455" s="92">
        <v>7.1</v>
      </c>
      <c r="B2455" s="539" t="str">
        <f>VLOOKUP(A2455,PRESUPUESTO!$A$14:$G$78,2,)</f>
        <v>Puerta principal en lamina cold rolled cal 18 entamborada incluye cerradura (1.00X2.10)</v>
      </c>
      <c r="C2455" s="540"/>
      <c r="D2455" s="540"/>
      <c r="E2455" s="540"/>
      <c r="F2455" s="541"/>
      <c r="G2455" s="57" t="s">
        <v>31</v>
      </c>
      <c r="H2455" s="58" t="str">
        <f>VLOOKUP(A2455,PRESUPUESTO!$A$14:$G$78,4,)</f>
        <v>UND</v>
      </c>
    </row>
    <row r="2456" spans="1:8" ht="17.2" customHeight="1" x14ac:dyDescent="0.3">
      <c r="A2456" s="59"/>
      <c r="H2456" s="60"/>
    </row>
    <row r="2457" spans="1:8" ht="26.85" customHeight="1" x14ac:dyDescent="0.3">
      <c r="A2457" s="61" t="s">
        <v>32</v>
      </c>
      <c r="B2457" s="525" t="s">
        <v>33</v>
      </c>
      <c r="C2457" s="526"/>
      <c r="D2457" s="526"/>
      <c r="E2457" s="526"/>
      <c r="F2457" s="526"/>
      <c r="G2457" s="527"/>
      <c r="H2457" s="60"/>
    </row>
    <row r="2458" spans="1:8" ht="17.2" customHeight="1" x14ac:dyDescent="0.3">
      <c r="A2458" s="62"/>
      <c r="B2458" s="518" t="s">
        <v>34</v>
      </c>
      <c r="C2458" s="519"/>
      <c r="D2458" s="62" t="s">
        <v>35</v>
      </c>
      <c r="E2458" s="62" t="s">
        <v>69</v>
      </c>
      <c r="F2458" s="62" t="s">
        <v>70</v>
      </c>
      <c r="G2458" s="62" t="s">
        <v>38</v>
      </c>
      <c r="H2458" s="60"/>
    </row>
    <row r="2459" spans="1:8" ht="17.2" customHeight="1" x14ac:dyDescent="0.3">
      <c r="A2459" s="63"/>
      <c r="B2459" s="542" t="s">
        <v>39</v>
      </c>
      <c r="C2459" s="543"/>
      <c r="D2459" s="63"/>
      <c r="E2459" s="64"/>
      <c r="F2459" s="64">
        <v>0.1</v>
      </c>
      <c r="G2459" s="65">
        <f>ROUND(H2476*F2459,2)</f>
        <v>28875</v>
      </c>
      <c r="H2459" s="66"/>
    </row>
    <row r="2460" spans="1:8" ht="17.2" customHeight="1" x14ac:dyDescent="0.3">
      <c r="A2460" s="63"/>
      <c r="B2460" s="542"/>
      <c r="C2460" s="543"/>
      <c r="D2460" s="62"/>
      <c r="E2460" s="68"/>
      <c r="F2460" s="64"/>
      <c r="G2460" s="69"/>
      <c r="H2460" s="66"/>
    </row>
    <row r="2461" spans="1:8" ht="28.15" customHeight="1" x14ac:dyDescent="0.3">
      <c r="A2461" s="70"/>
      <c r="E2461" s="71" t="s">
        <v>40</v>
      </c>
      <c r="F2461" s="71"/>
      <c r="G2461" s="71"/>
      <c r="H2461" s="72">
        <f>ROUND(SUM(G2459:G2460),2)</f>
        <v>28875</v>
      </c>
    </row>
    <row r="2462" spans="1:8" ht="17.2" customHeight="1" x14ac:dyDescent="0.3">
      <c r="A2462" s="61" t="s">
        <v>41</v>
      </c>
      <c r="B2462" s="525" t="s">
        <v>42</v>
      </c>
      <c r="C2462" s="526"/>
      <c r="D2462" s="526"/>
      <c r="E2462" s="526"/>
      <c r="F2462" s="526"/>
      <c r="G2462" s="527"/>
      <c r="H2462" s="73"/>
    </row>
    <row r="2463" spans="1:8" ht="17.2" customHeight="1" x14ac:dyDescent="0.3">
      <c r="A2463" s="62"/>
      <c r="B2463" s="518" t="s">
        <v>34</v>
      </c>
      <c r="C2463" s="519"/>
      <c r="D2463" s="63" t="s">
        <v>43</v>
      </c>
      <c r="E2463" s="74" t="s">
        <v>44</v>
      </c>
      <c r="F2463" s="74" t="s">
        <v>45</v>
      </c>
      <c r="G2463" s="74" t="s">
        <v>38</v>
      </c>
      <c r="H2463" s="73"/>
    </row>
    <row r="2464" spans="1:8" ht="17.2" customHeight="1" x14ac:dyDescent="0.3">
      <c r="A2464" s="63"/>
      <c r="B2464" s="544" t="s">
        <v>333</v>
      </c>
      <c r="C2464" s="545"/>
      <c r="D2464" s="270" t="s">
        <v>178</v>
      </c>
      <c r="E2464" s="94">
        <v>4.4000000000000004</v>
      </c>
      <c r="F2464" s="95">
        <v>105000</v>
      </c>
      <c r="G2464" s="120">
        <f>ROUND(E2464*F2464,2)</f>
        <v>462000</v>
      </c>
      <c r="H2464" s="73"/>
    </row>
    <row r="2465" spans="1:8" ht="17.2" customHeight="1" x14ac:dyDescent="0.3">
      <c r="A2465" s="63"/>
      <c r="B2465" s="546" t="s">
        <v>334</v>
      </c>
      <c r="C2465" s="547"/>
      <c r="D2465" s="270" t="s">
        <v>218</v>
      </c>
      <c r="E2465" s="94">
        <v>1</v>
      </c>
      <c r="F2465" s="95">
        <v>170000</v>
      </c>
      <c r="G2465" s="67">
        <f t="shared" ref="G2465:G2469" si="33">ROUND(E2465*F2465,2)</f>
        <v>170000</v>
      </c>
      <c r="H2465" s="73"/>
    </row>
    <row r="2466" spans="1:8" ht="17.2" customHeight="1" x14ac:dyDescent="0.3">
      <c r="A2466" s="63"/>
      <c r="B2466" s="546" t="s">
        <v>460</v>
      </c>
      <c r="C2466" s="547"/>
      <c r="D2466" s="270" t="s">
        <v>218</v>
      </c>
      <c r="E2466" s="94">
        <v>3</v>
      </c>
      <c r="F2466" s="95">
        <v>15000</v>
      </c>
      <c r="G2466" s="67">
        <f t="shared" si="33"/>
        <v>45000</v>
      </c>
      <c r="H2466" s="73"/>
    </row>
    <row r="2467" spans="1:8" ht="17.2" customHeight="1" x14ac:dyDescent="0.3">
      <c r="A2467" s="63"/>
      <c r="B2467" s="523" t="s">
        <v>335</v>
      </c>
      <c r="C2467" s="524"/>
      <c r="D2467" s="93" t="s">
        <v>218</v>
      </c>
      <c r="E2467" s="94">
        <v>1</v>
      </c>
      <c r="F2467" s="95">
        <v>95000</v>
      </c>
      <c r="G2467" s="67">
        <f t="shared" si="33"/>
        <v>95000</v>
      </c>
      <c r="H2467" s="73"/>
    </row>
    <row r="2468" spans="1:8" ht="17.2" customHeight="1" x14ac:dyDescent="0.3">
      <c r="A2468" s="63"/>
      <c r="B2468" s="523" t="s">
        <v>336</v>
      </c>
      <c r="C2468" s="524"/>
      <c r="D2468" s="93" t="s">
        <v>220</v>
      </c>
      <c r="E2468" s="94">
        <v>0.5</v>
      </c>
      <c r="F2468" s="95">
        <v>75000</v>
      </c>
      <c r="G2468" s="67">
        <f t="shared" si="33"/>
        <v>37500</v>
      </c>
      <c r="H2468" s="73"/>
    </row>
    <row r="2469" spans="1:8" ht="17.2" customHeight="1" x14ac:dyDescent="0.3">
      <c r="A2469" s="63"/>
      <c r="B2469" s="523" t="s">
        <v>337</v>
      </c>
      <c r="C2469" s="524"/>
      <c r="D2469" s="93" t="s">
        <v>220</v>
      </c>
      <c r="E2469" s="94">
        <v>0.5</v>
      </c>
      <c r="F2469" s="95">
        <v>84000</v>
      </c>
      <c r="G2469" s="67">
        <f t="shared" si="33"/>
        <v>42000</v>
      </c>
      <c r="H2469" s="73"/>
    </row>
    <row r="2470" spans="1:8" ht="13.75" customHeight="1" x14ac:dyDescent="0.3">
      <c r="A2470" s="70" t="s">
        <v>46</v>
      </c>
      <c r="E2470" s="71" t="s">
        <v>47</v>
      </c>
      <c r="F2470" s="71"/>
      <c r="G2470" s="71"/>
      <c r="H2470" s="76">
        <f>ROUND(SUM(G2464:G2469),2)</f>
        <v>851500</v>
      </c>
    </row>
    <row r="2471" spans="1:8" ht="17.2" customHeight="1" x14ac:dyDescent="0.3">
      <c r="A2471" s="61" t="s">
        <v>48</v>
      </c>
      <c r="B2471" s="525" t="s">
        <v>49</v>
      </c>
      <c r="C2471" s="526"/>
      <c r="D2471" s="526"/>
      <c r="E2471" s="526"/>
      <c r="F2471" s="526"/>
      <c r="G2471" s="527"/>
      <c r="H2471" s="73"/>
    </row>
    <row r="2472" spans="1:8" ht="17.2" customHeight="1" x14ac:dyDescent="0.3">
      <c r="A2472" s="62" t="s">
        <v>50</v>
      </c>
      <c r="B2472" s="62" t="s">
        <v>34</v>
      </c>
      <c r="C2472" s="62" t="s">
        <v>51</v>
      </c>
      <c r="D2472" s="62" t="s">
        <v>52</v>
      </c>
      <c r="E2472" s="74" t="s">
        <v>53</v>
      </c>
      <c r="F2472" s="64" t="s">
        <v>260</v>
      </c>
      <c r="G2472" s="64" t="s">
        <v>38</v>
      </c>
      <c r="H2472" s="73"/>
    </row>
    <row r="2473" spans="1:8" ht="17.2" customHeight="1" x14ac:dyDescent="0.3">
      <c r="A2473" s="62">
        <v>1</v>
      </c>
      <c r="B2473" s="63" t="s">
        <v>79</v>
      </c>
      <c r="C2473" s="77">
        <v>120000</v>
      </c>
      <c r="D2473" s="78">
        <v>0.75</v>
      </c>
      <c r="E2473" s="79">
        <f>+(A2473*C2473)+(A2473*C2473*D2473)</f>
        <v>210000</v>
      </c>
      <c r="F2473" s="75">
        <v>2</v>
      </c>
      <c r="G2473" s="65">
        <f>ROUND(E2473/(F2473),2)</f>
        <v>105000</v>
      </c>
      <c r="H2473" s="73"/>
    </row>
    <row r="2474" spans="1:8" ht="17.2" customHeight="1" x14ac:dyDescent="0.3">
      <c r="A2474" s="62">
        <v>3</v>
      </c>
      <c r="B2474" s="63" t="s">
        <v>80</v>
      </c>
      <c r="C2474" s="77">
        <v>70000</v>
      </c>
      <c r="D2474" s="78">
        <v>0.75</v>
      </c>
      <c r="E2474" s="79">
        <f>+(A2474*C2474)+(A2474*C2474*D2474)</f>
        <v>367500</v>
      </c>
      <c r="F2474" s="75">
        <v>2</v>
      </c>
      <c r="G2474" s="65">
        <f>ROUND(E2474/(F2474),2)</f>
        <v>183750</v>
      </c>
      <c r="H2474" s="73"/>
    </row>
    <row r="2475" spans="1:8" ht="17.2" customHeight="1" x14ac:dyDescent="0.3">
      <c r="A2475" s="63"/>
      <c r="B2475" s="63"/>
      <c r="C2475" s="63"/>
      <c r="D2475" s="63"/>
      <c r="E2475" s="64"/>
      <c r="F2475" s="64"/>
      <c r="G2475" s="64"/>
      <c r="H2475" s="73"/>
    </row>
    <row r="2476" spans="1:8" ht="17.2" customHeight="1" x14ac:dyDescent="0.3">
      <c r="A2476" s="70"/>
      <c r="E2476" s="71" t="s">
        <v>54</v>
      </c>
      <c r="F2476" s="71"/>
      <c r="G2476" s="71"/>
      <c r="H2476" s="72">
        <f>ROUND(SUM(G2473)+(G2474),2)</f>
        <v>288750</v>
      </c>
    </row>
    <row r="2477" spans="1:8" ht="17.2" customHeight="1" x14ac:dyDescent="0.3">
      <c r="A2477" s="61" t="s">
        <v>55</v>
      </c>
      <c r="B2477" s="525" t="s">
        <v>56</v>
      </c>
      <c r="C2477" s="526"/>
      <c r="D2477" s="526"/>
      <c r="E2477" s="526"/>
      <c r="F2477" s="526"/>
      <c r="G2477" s="527"/>
      <c r="H2477" s="73"/>
    </row>
    <row r="2478" spans="1:8" ht="17.2" customHeight="1" x14ac:dyDescent="0.3">
      <c r="A2478" s="63"/>
      <c r="B2478" s="63" t="s">
        <v>34</v>
      </c>
      <c r="C2478" s="62" t="s">
        <v>43</v>
      </c>
      <c r="D2478" s="62" t="s">
        <v>57</v>
      </c>
      <c r="E2478" s="62" t="s">
        <v>58</v>
      </c>
      <c r="F2478" s="62"/>
      <c r="G2478" s="64" t="s">
        <v>59</v>
      </c>
      <c r="H2478" s="73"/>
    </row>
    <row r="2479" spans="1:8" ht="17.2" customHeight="1" x14ac:dyDescent="0.3">
      <c r="A2479" s="63"/>
      <c r="B2479" s="63" t="s">
        <v>82</v>
      </c>
      <c r="C2479" s="80" t="s">
        <v>83</v>
      </c>
      <c r="D2479" s="63">
        <v>1</v>
      </c>
      <c r="E2479" s="64">
        <v>50000</v>
      </c>
      <c r="F2479" s="64"/>
      <c r="G2479" s="64">
        <f>D2479*E2479</f>
        <v>50000</v>
      </c>
      <c r="H2479" s="73"/>
    </row>
    <row r="2480" spans="1:8" ht="17.2" customHeight="1" x14ac:dyDescent="0.3">
      <c r="A2480" s="63"/>
      <c r="B2480" s="63"/>
      <c r="C2480" s="81"/>
      <c r="D2480" s="63"/>
      <c r="E2480" s="64"/>
      <c r="F2480" s="64"/>
      <c r="G2480" s="64"/>
      <c r="H2480" s="73"/>
    </row>
    <row r="2481" spans="1:8" ht="17.2" customHeight="1" x14ac:dyDescent="0.3">
      <c r="A2481" s="63"/>
      <c r="B2481" s="63"/>
      <c r="C2481" s="63"/>
      <c r="D2481" s="63"/>
      <c r="E2481" s="64"/>
      <c r="F2481" s="64"/>
      <c r="G2481" s="64"/>
      <c r="H2481" s="73"/>
    </row>
    <row r="2482" spans="1:8" ht="17.2" customHeight="1" x14ac:dyDescent="0.3">
      <c r="A2482" s="70"/>
      <c r="E2482" s="71" t="s">
        <v>54</v>
      </c>
      <c r="F2482" s="71"/>
      <c r="G2482" s="71"/>
      <c r="H2482" s="119">
        <f>ROUND(SUM(G2479)+(G2480),0)</f>
        <v>50000</v>
      </c>
    </row>
    <row r="2483" spans="1:8" ht="17.2" customHeight="1" x14ac:dyDescent="0.3">
      <c r="A2483" s="59"/>
      <c r="E2483" s="71"/>
      <c r="F2483" s="71"/>
      <c r="G2483" s="71"/>
      <c r="H2483" s="73"/>
    </row>
    <row r="2484" spans="1:8" ht="17.2" customHeight="1" x14ac:dyDescent="0.3">
      <c r="A2484" s="59"/>
      <c r="D2484" s="82" t="s">
        <v>60</v>
      </c>
      <c r="E2484" s="83"/>
      <c r="F2484" s="83"/>
      <c r="G2484" s="83"/>
      <c r="H2484" s="72">
        <f>ROUND(SUM(H2461:H2483),2)</f>
        <v>1219125</v>
      </c>
    </row>
    <row r="2485" spans="1:8" ht="17.2" customHeight="1" x14ac:dyDescent="0.3">
      <c r="A2485" s="59"/>
      <c r="E2485" s="71"/>
      <c r="F2485" s="71"/>
      <c r="G2485" s="71"/>
      <c r="H2485" s="73"/>
    </row>
    <row r="2486" spans="1:8" ht="17.2" customHeight="1" x14ac:dyDescent="0.3">
      <c r="A2486" s="61" t="s">
        <v>61</v>
      </c>
      <c r="B2486" s="525" t="s">
        <v>62</v>
      </c>
      <c r="C2486" s="526"/>
      <c r="D2486" s="526"/>
      <c r="E2486" s="526"/>
      <c r="F2486" s="526"/>
      <c r="G2486" s="527"/>
      <c r="H2486" s="73"/>
    </row>
    <row r="2487" spans="1:8" ht="17.2" customHeight="1" x14ac:dyDescent="0.3">
      <c r="A2487" s="62"/>
      <c r="B2487" s="518" t="s">
        <v>34</v>
      </c>
      <c r="C2487" s="519"/>
      <c r="D2487" s="518" t="s">
        <v>63</v>
      </c>
      <c r="E2487" s="519"/>
      <c r="F2487" s="528" t="s">
        <v>64</v>
      </c>
      <c r="G2487" s="529"/>
      <c r="H2487" s="73"/>
    </row>
    <row r="2488" spans="1:8" ht="17.2" customHeight="1" x14ac:dyDescent="0.3">
      <c r="A2488" s="63"/>
      <c r="B2488" s="518" t="s">
        <v>20</v>
      </c>
      <c r="C2488" s="519"/>
      <c r="D2488" s="520">
        <v>0.28000000000000003</v>
      </c>
      <c r="E2488" s="519"/>
      <c r="F2488" s="521">
        <f>+H2484*D2488</f>
        <v>341355.00000000006</v>
      </c>
      <c r="G2488" s="522"/>
      <c r="H2488" s="73"/>
    </row>
    <row r="2489" spans="1:8" ht="17.2" customHeight="1" x14ac:dyDescent="0.3">
      <c r="A2489" s="63"/>
      <c r="B2489" s="518" t="s">
        <v>21</v>
      </c>
      <c r="C2489" s="519"/>
      <c r="D2489" s="520">
        <v>0.01</v>
      </c>
      <c r="E2489" s="519"/>
      <c r="F2489" s="521">
        <f>+H2484*D2489</f>
        <v>12191.25</v>
      </c>
      <c r="G2489" s="522"/>
      <c r="H2489" s="73"/>
    </row>
    <row r="2490" spans="1:8" ht="17.2" customHeight="1" x14ac:dyDescent="0.3">
      <c r="A2490" s="63"/>
      <c r="B2490" s="518" t="s">
        <v>22</v>
      </c>
      <c r="C2490" s="519"/>
      <c r="D2490" s="520">
        <v>0.03</v>
      </c>
      <c r="E2490" s="519"/>
      <c r="F2490" s="521">
        <f>+H2484*D2490</f>
        <v>36573.75</v>
      </c>
      <c r="G2490" s="522"/>
      <c r="H2490" s="73"/>
    </row>
    <row r="2491" spans="1:8" ht="17.2" customHeight="1" x14ac:dyDescent="0.3">
      <c r="A2491" s="63"/>
      <c r="B2491" s="518" t="s">
        <v>188</v>
      </c>
      <c r="C2491" s="519"/>
      <c r="D2491" s="520">
        <v>0.19</v>
      </c>
      <c r="E2491" s="519"/>
      <c r="F2491" s="521">
        <f>D2491*F2490</f>
        <v>6949.0124999999998</v>
      </c>
      <c r="G2491" s="522"/>
      <c r="H2491" s="73"/>
    </row>
    <row r="2492" spans="1:8" ht="17.2" customHeight="1" x14ac:dyDescent="0.3">
      <c r="A2492" s="59"/>
      <c r="D2492" s="82" t="s">
        <v>65</v>
      </c>
      <c r="E2492" s="83"/>
      <c r="F2492" s="83"/>
      <c r="G2492" s="83"/>
      <c r="H2492" s="72">
        <f>SUM(F2488:G2491)</f>
        <v>397069.01250000007</v>
      </c>
    </row>
    <row r="2493" spans="1:8" ht="17.2" customHeight="1" x14ac:dyDescent="0.3">
      <c r="A2493" s="59"/>
      <c r="E2493" s="71"/>
      <c r="F2493" s="71"/>
      <c r="G2493" s="71"/>
      <c r="H2493" s="73"/>
    </row>
    <row r="2494" spans="1:8" ht="17.2" customHeight="1" x14ac:dyDescent="0.3">
      <c r="A2494" s="59"/>
      <c r="D2494" s="82" t="s">
        <v>66</v>
      </c>
      <c r="E2494" s="83"/>
      <c r="F2494" s="83"/>
      <c r="G2494" s="71"/>
      <c r="H2494" s="72">
        <f>H2484+H2492</f>
        <v>1616194.0125000002</v>
      </c>
    </row>
    <row r="2495" spans="1:8" ht="17.2" customHeight="1" x14ac:dyDescent="0.3">
      <c r="A2495" s="59"/>
      <c r="D2495" s="82"/>
      <c r="E2495" s="83"/>
      <c r="F2495" s="83"/>
      <c r="G2495" s="71"/>
      <c r="H2495" s="73"/>
    </row>
    <row r="2496" spans="1:8" ht="17.2" customHeight="1" x14ac:dyDescent="0.3">
      <c r="A2496" s="59"/>
      <c r="E2496" s="83"/>
      <c r="F2496" s="83"/>
      <c r="G2496" s="71"/>
      <c r="H2496" s="73"/>
    </row>
    <row r="2497" spans="1:8" ht="17.2" customHeight="1" x14ac:dyDescent="0.3">
      <c r="A2497" s="84"/>
      <c r="B2497" s="85"/>
      <c r="E2497" s="46"/>
      <c r="F2497" s="47"/>
      <c r="G2497" s="48"/>
      <c r="H2497" s="73"/>
    </row>
    <row r="2498" spans="1:8" ht="17.2" customHeight="1" x14ac:dyDescent="0.3">
      <c r="A2498" s="86" t="s">
        <v>67</v>
      </c>
      <c r="B2498" s="50" t="s">
        <v>68</v>
      </c>
      <c r="E2498" s="49" t="s">
        <v>27</v>
      </c>
      <c r="F2498" s="50"/>
      <c r="G2498" s="50"/>
      <c r="H2498" s="87"/>
    </row>
    <row r="2499" spans="1:8" ht="17.2" customHeight="1" x14ac:dyDescent="0.3">
      <c r="A2499" s="88" t="s">
        <v>28</v>
      </c>
      <c r="B2499" s="50"/>
      <c r="E2499" s="50" t="str">
        <f ca="1">+$E$52</f>
        <v>SECRETARIO DE PLANEACION Y OBRAS PUBLICAS</v>
      </c>
      <c r="F2499" s="50"/>
      <c r="G2499" s="50"/>
      <c r="H2499" s="87"/>
    </row>
    <row r="2500" spans="1:8" ht="17.2" customHeight="1" x14ac:dyDescent="0.3">
      <c r="A2500" s="89"/>
      <c r="B2500" s="90"/>
      <c r="C2500" s="85"/>
      <c r="D2500" s="85"/>
      <c r="E2500" s="90" t="str">
        <f ca="1">+$E$53</f>
        <v>SAN MIGUEL - PUTUMAYO</v>
      </c>
      <c r="F2500" s="90"/>
      <c r="G2500" s="90"/>
      <c r="H2500" s="91"/>
    </row>
    <row r="2501" spans="1:8" ht="17.2" customHeight="1" x14ac:dyDescent="0.3">
      <c r="A2501" s="556"/>
      <c r="B2501" s="557"/>
      <c r="C2501" s="380" t="s">
        <v>2</v>
      </c>
      <c r="D2501" s="382" t="s">
        <v>3</v>
      </c>
      <c r="E2501" s="383"/>
      <c r="F2501" s="1">
        <v>103</v>
      </c>
      <c r="G2501" s="548"/>
      <c r="H2501" s="549"/>
    </row>
    <row r="2502" spans="1:8" ht="17.2" customHeight="1" x14ac:dyDescent="0.3">
      <c r="A2502" s="558"/>
      <c r="B2502" s="559"/>
      <c r="C2502" s="381"/>
      <c r="D2502" s="396" t="s">
        <v>4</v>
      </c>
      <c r="E2502" s="397"/>
      <c r="F2502" s="400">
        <v>51</v>
      </c>
      <c r="G2502" s="550"/>
      <c r="H2502" s="551"/>
    </row>
    <row r="2503" spans="1:8" ht="17.2" customHeight="1" x14ac:dyDescent="0.3">
      <c r="A2503" s="558"/>
      <c r="B2503" s="559"/>
      <c r="C2503" s="5" t="s">
        <v>5</v>
      </c>
      <c r="D2503" s="398"/>
      <c r="E2503" s="399"/>
      <c r="F2503" s="401"/>
      <c r="G2503" s="550"/>
      <c r="H2503" s="551"/>
    </row>
    <row r="2504" spans="1:8" ht="17.2" customHeight="1" x14ac:dyDescent="0.3">
      <c r="A2504" s="558"/>
      <c r="B2504" s="559"/>
      <c r="C2504" s="55" t="s">
        <v>6</v>
      </c>
      <c r="D2504" s="402" t="s">
        <v>7</v>
      </c>
      <c r="E2504" s="403"/>
      <c r="F2504" s="7">
        <v>1</v>
      </c>
      <c r="G2504" s="550"/>
      <c r="H2504" s="551"/>
    </row>
    <row r="2505" spans="1:8" ht="17.2" customHeight="1" x14ac:dyDescent="0.3">
      <c r="A2505" s="558"/>
      <c r="B2505" s="559"/>
      <c r="C2505" s="530" t="s">
        <v>8</v>
      </c>
      <c r="D2505" s="532" t="s">
        <v>9</v>
      </c>
      <c r="E2505" s="533"/>
      <c r="F2505" s="5" t="s">
        <v>10</v>
      </c>
      <c r="G2505" s="550"/>
      <c r="H2505" s="551"/>
    </row>
    <row r="2506" spans="1:8" ht="18.2" customHeight="1" x14ac:dyDescent="0.3">
      <c r="A2506" s="560"/>
      <c r="B2506" s="561"/>
      <c r="C2506" s="531"/>
      <c r="D2506" s="534"/>
      <c r="E2506" s="535"/>
      <c r="F2506" s="8">
        <f>$F$6</f>
        <v>45402</v>
      </c>
      <c r="G2506" s="552"/>
      <c r="H2506" s="553"/>
    </row>
    <row r="2507" spans="1:8" ht="17.2" customHeight="1" thickBot="1" x14ac:dyDescent="0.35">
      <c r="A2507" s="536"/>
      <c r="B2507" s="537"/>
      <c r="C2507" s="537"/>
      <c r="D2507" s="537"/>
      <c r="E2507" s="537"/>
      <c r="F2507" s="537"/>
      <c r="G2507" s="537"/>
      <c r="H2507" s="538"/>
    </row>
    <row r="2508" spans="1:8" ht="17.2" customHeight="1" thickBot="1" x14ac:dyDescent="0.35">
      <c r="A2508" s="92">
        <v>7.2</v>
      </c>
      <c r="B2508" s="539" t="str">
        <f>VLOOKUP(A2508,PRESUPUESTO!$A$14:$G$78,2,)</f>
        <v>Puerta de baño en aluminio (1.00x2.10)</v>
      </c>
      <c r="C2508" s="540"/>
      <c r="D2508" s="540"/>
      <c r="E2508" s="540"/>
      <c r="F2508" s="541"/>
      <c r="G2508" s="57" t="s">
        <v>31</v>
      </c>
      <c r="H2508" s="58" t="str">
        <f>VLOOKUP(A2508,PRESUPUESTO!$A$14:$G$78,4,)</f>
        <v>UND</v>
      </c>
    </row>
    <row r="2509" spans="1:8" ht="17.2" customHeight="1" x14ac:dyDescent="0.3">
      <c r="A2509" s="59"/>
      <c r="H2509" s="60"/>
    </row>
    <row r="2510" spans="1:8" ht="26.85" customHeight="1" x14ac:dyDescent="0.3">
      <c r="A2510" s="61" t="s">
        <v>32</v>
      </c>
      <c r="B2510" s="525" t="s">
        <v>33</v>
      </c>
      <c r="C2510" s="526"/>
      <c r="D2510" s="526"/>
      <c r="E2510" s="526"/>
      <c r="F2510" s="526"/>
      <c r="G2510" s="527"/>
      <c r="H2510" s="60"/>
    </row>
    <row r="2511" spans="1:8" ht="17.2" customHeight="1" x14ac:dyDescent="0.3">
      <c r="A2511" s="62"/>
      <c r="B2511" s="518" t="s">
        <v>34</v>
      </c>
      <c r="C2511" s="519"/>
      <c r="D2511" s="62" t="s">
        <v>35</v>
      </c>
      <c r="E2511" s="62" t="s">
        <v>69</v>
      </c>
      <c r="F2511" s="62" t="s">
        <v>70</v>
      </c>
      <c r="G2511" s="62" t="s">
        <v>38</v>
      </c>
      <c r="H2511" s="60"/>
    </row>
    <row r="2512" spans="1:8" ht="17.2" customHeight="1" x14ac:dyDescent="0.3">
      <c r="A2512" s="63"/>
      <c r="B2512" s="542" t="s">
        <v>39</v>
      </c>
      <c r="C2512" s="543"/>
      <c r="D2512" s="63"/>
      <c r="E2512" s="64"/>
      <c r="F2512" s="64">
        <v>0.1</v>
      </c>
      <c r="G2512" s="65">
        <f>ROUND(H2529*F2512,2)</f>
        <v>28875</v>
      </c>
      <c r="H2512" s="66"/>
    </row>
    <row r="2513" spans="1:8" ht="17.2" customHeight="1" x14ac:dyDescent="0.3">
      <c r="A2513" s="63"/>
      <c r="B2513" s="542"/>
      <c r="C2513" s="543"/>
      <c r="D2513" s="62"/>
      <c r="E2513" s="68"/>
      <c r="F2513" s="64"/>
      <c r="G2513" s="69"/>
      <c r="H2513" s="66"/>
    </row>
    <row r="2514" spans="1:8" ht="28.15" customHeight="1" x14ac:dyDescent="0.3">
      <c r="A2514" s="70"/>
      <c r="E2514" s="71" t="s">
        <v>40</v>
      </c>
      <c r="F2514" s="71"/>
      <c r="G2514" s="71"/>
      <c r="H2514" s="72">
        <f>ROUND(SUM(G2512:G2513),2)</f>
        <v>28875</v>
      </c>
    </row>
    <row r="2515" spans="1:8" ht="17.2" customHeight="1" x14ac:dyDescent="0.3">
      <c r="A2515" s="61" t="s">
        <v>41</v>
      </c>
      <c r="B2515" s="525" t="s">
        <v>42</v>
      </c>
      <c r="C2515" s="526"/>
      <c r="D2515" s="526"/>
      <c r="E2515" s="526"/>
      <c r="F2515" s="526"/>
      <c r="G2515" s="527"/>
      <c r="H2515" s="73"/>
    </row>
    <row r="2516" spans="1:8" ht="17.2" customHeight="1" x14ac:dyDescent="0.3">
      <c r="A2516" s="62"/>
      <c r="B2516" s="518" t="s">
        <v>34</v>
      </c>
      <c r="C2516" s="519"/>
      <c r="D2516" s="63" t="s">
        <v>43</v>
      </c>
      <c r="E2516" s="74" t="s">
        <v>44</v>
      </c>
      <c r="F2516" s="74" t="s">
        <v>45</v>
      </c>
      <c r="G2516" s="74" t="s">
        <v>38</v>
      </c>
      <c r="H2516" s="73"/>
    </row>
    <row r="2517" spans="1:8" ht="17.2" customHeight="1" x14ac:dyDescent="0.3">
      <c r="A2517" s="63"/>
      <c r="B2517" s="544" t="s">
        <v>338</v>
      </c>
      <c r="C2517" s="545"/>
      <c r="D2517" s="270" t="s">
        <v>178</v>
      </c>
      <c r="E2517" s="94">
        <v>1.5</v>
      </c>
      <c r="F2517" s="95">
        <v>85000</v>
      </c>
      <c r="G2517" s="120">
        <f>ROUND(E2517*F2517,2)</f>
        <v>127500</v>
      </c>
      <c r="H2517" s="73"/>
    </row>
    <row r="2518" spans="1:8" ht="17.2" customHeight="1" x14ac:dyDescent="0.3">
      <c r="A2518" s="63"/>
      <c r="B2518" s="546" t="s">
        <v>339</v>
      </c>
      <c r="C2518" s="547"/>
      <c r="D2518" s="270" t="s">
        <v>218</v>
      </c>
      <c r="E2518" s="94">
        <v>1</v>
      </c>
      <c r="F2518" s="95">
        <v>130000</v>
      </c>
      <c r="G2518" s="67">
        <f t="shared" ref="G2518:G2521" si="34">ROUND(E2518*F2518,2)</f>
        <v>130000</v>
      </c>
      <c r="H2518" s="73"/>
    </row>
    <row r="2519" spans="1:8" ht="17.2" customHeight="1" x14ac:dyDescent="0.3">
      <c r="A2519" s="63"/>
      <c r="B2519" s="546" t="s">
        <v>340</v>
      </c>
      <c r="C2519" s="547"/>
      <c r="D2519" s="270" t="s">
        <v>218</v>
      </c>
      <c r="E2519" s="94">
        <v>1</v>
      </c>
      <c r="F2519" s="95">
        <v>55000</v>
      </c>
      <c r="G2519" s="67">
        <f t="shared" si="34"/>
        <v>55000</v>
      </c>
      <c r="H2519" s="73"/>
    </row>
    <row r="2520" spans="1:8" ht="17.2" customHeight="1" x14ac:dyDescent="0.3">
      <c r="A2520" s="63"/>
      <c r="B2520" s="523" t="s">
        <v>341</v>
      </c>
      <c r="C2520" s="524"/>
      <c r="D2520" s="93" t="s">
        <v>218</v>
      </c>
      <c r="E2520" s="94">
        <v>3</v>
      </c>
      <c r="F2520" s="95">
        <v>12000</v>
      </c>
      <c r="G2520" s="67">
        <f t="shared" si="34"/>
        <v>36000</v>
      </c>
      <c r="H2520" s="73"/>
    </row>
    <row r="2521" spans="1:8" ht="17.2" customHeight="1" x14ac:dyDescent="0.3">
      <c r="A2521" s="63"/>
      <c r="B2521" s="523" t="s">
        <v>342</v>
      </c>
      <c r="C2521" s="524"/>
      <c r="D2521" s="93" t="s">
        <v>218</v>
      </c>
      <c r="E2521" s="94">
        <v>1</v>
      </c>
      <c r="F2521" s="95">
        <v>23000</v>
      </c>
      <c r="G2521" s="67">
        <f t="shared" si="34"/>
        <v>23000</v>
      </c>
      <c r="H2521" s="73"/>
    </row>
    <row r="2522" spans="1:8" ht="17.2" customHeight="1" x14ac:dyDescent="0.3">
      <c r="A2522" s="63"/>
      <c r="B2522" s="523"/>
      <c r="C2522" s="524"/>
      <c r="D2522" s="93"/>
      <c r="E2522" s="94"/>
      <c r="F2522" s="95"/>
      <c r="G2522" s="67"/>
      <c r="H2522" s="73"/>
    </row>
    <row r="2523" spans="1:8" ht="13.75" customHeight="1" x14ac:dyDescent="0.3">
      <c r="A2523" s="70" t="s">
        <v>46</v>
      </c>
      <c r="E2523" s="71" t="s">
        <v>47</v>
      </c>
      <c r="F2523" s="71"/>
      <c r="G2523" s="71"/>
      <c r="H2523" s="76">
        <f>ROUND(SUM(G2517:G2522),2)</f>
        <v>371500</v>
      </c>
    </row>
    <row r="2524" spans="1:8" ht="17.2" customHeight="1" x14ac:dyDescent="0.3">
      <c r="A2524" s="61" t="s">
        <v>48</v>
      </c>
      <c r="B2524" s="525" t="s">
        <v>49</v>
      </c>
      <c r="C2524" s="526"/>
      <c r="D2524" s="526"/>
      <c r="E2524" s="526"/>
      <c r="F2524" s="526"/>
      <c r="G2524" s="527"/>
      <c r="H2524" s="73"/>
    </row>
    <row r="2525" spans="1:8" ht="17.2" customHeight="1" x14ac:dyDescent="0.3">
      <c r="A2525" s="62" t="s">
        <v>50</v>
      </c>
      <c r="B2525" s="62" t="s">
        <v>34</v>
      </c>
      <c r="C2525" s="62" t="s">
        <v>51</v>
      </c>
      <c r="D2525" s="62" t="s">
        <v>52</v>
      </c>
      <c r="E2525" s="74" t="s">
        <v>53</v>
      </c>
      <c r="F2525" s="64" t="s">
        <v>260</v>
      </c>
      <c r="G2525" s="64" t="s">
        <v>38</v>
      </c>
      <c r="H2525" s="73"/>
    </row>
    <row r="2526" spans="1:8" ht="17.2" customHeight="1" x14ac:dyDescent="0.3">
      <c r="A2526" s="62">
        <v>1</v>
      </c>
      <c r="B2526" s="63" t="s">
        <v>79</v>
      </c>
      <c r="C2526" s="77">
        <v>120000</v>
      </c>
      <c r="D2526" s="78">
        <v>0.75</v>
      </c>
      <c r="E2526" s="79">
        <f>+(A2526*C2526)+(A2526*C2526*D2526)</f>
        <v>210000</v>
      </c>
      <c r="F2526" s="75">
        <v>2</v>
      </c>
      <c r="G2526" s="65">
        <f>ROUND(E2526/(F2526),2)</f>
        <v>105000</v>
      </c>
      <c r="H2526" s="73"/>
    </row>
    <row r="2527" spans="1:8" ht="17.2" customHeight="1" x14ac:dyDescent="0.3">
      <c r="A2527" s="62">
        <v>3</v>
      </c>
      <c r="B2527" s="63" t="s">
        <v>80</v>
      </c>
      <c r="C2527" s="77">
        <v>70000</v>
      </c>
      <c r="D2527" s="78">
        <v>0.75</v>
      </c>
      <c r="E2527" s="79">
        <f>+(A2527*C2527)+(A2527*C2527*D2527)</f>
        <v>367500</v>
      </c>
      <c r="F2527" s="75">
        <v>2</v>
      </c>
      <c r="G2527" s="65">
        <f>ROUND(E2527/(F2527),2)</f>
        <v>183750</v>
      </c>
      <c r="H2527" s="73"/>
    </row>
    <row r="2528" spans="1:8" ht="17.2" customHeight="1" x14ac:dyDescent="0.3">
      <c r="A2528" s="63"/>
      <c r="B2528" s="63"/>
      <c r="C2528" s="63"/>
      <c r="D2528" s="63"/>
      <c r="E2528" s="64"/>
      <c r="F2528" s="64"/>
      <c r="G2528" s="64"/>
      <c r="H2528" s="73"/>
    </row>
    <row r="2529" spans="1:8" ht="17.2" customHeight="1" x14ac:dyDescent="0.3">
      <c r="A2529" s="70"/>
      <c r="E2529" s="71" t="s">
        <v>54</v>
      </c>
      <c r="F2529" s="71"/>
      <c r="G2529" s="71"/>
      <c r="H2529" s="72">
        <f>ROUND(SUM(G2526)+(G2527),2)</f>
        <v>288750</v>
      </c>
    </row>
    <row r="2530" spans="1:8" ht="17.2" customHeight="1" x14ac:dyDescent="0.3">
      <c r="A2530" s="61" t="s">
        <v>55</v>
      </c>
      <c r="B2530" s="525" t="s">
        <v>56</v>
      </c>
      <c r="C2530" s="526"/>
      <c r="D2530" s="526"/>
      <c r="E2530" s="526"/>
      <c r="F2530" s="526"/>
      <c r="G2530" s="527"/>
      <c r="H2530" s="73"/>
    </row>
    <row r="2531" spans="1:8" ht="17.2" customHeight="1" x14ac:dyDescent="0.3">
      <c r="A2531" s="63"/>
      <c r="B2531" s="63" t="s">
        <v>34</v>
      </c>
      <c r="C2531" s="62" t="s">
        <v>43</v>
      </c>
      <c r="D2531" s="62" t="s">
        <v>57</v>
      </c>
      <c r="E2531" s="62" t="s">
        <v>58</v>
      </c>
      <c r="F2531" s="62"/>
      <c r="G2531" s="64" t="s">
        <v>59</v>
      </c>
      <c r="H2531" s="73"/>
    </row>
    <row r="2532" spans="1:8" ht="17.2" customHeight="1" x14ac:dyDescent="0.3">
      <c r="A2532" s="63"/>
      <c r="B2532" s="63" t="s">
        <v>82</v>
      </c>
      <c r="C2532" s="80" t="s">
        <v>83</v>
      </c>
      <c r="D2532" s="63">
        <v>1</v>
      </c>
      <c r="E2532" s="64">
        <v>50000</v>
      </c>
      <c r="F2532" s="64"/>
      <c r="G2532" s="64">
        <f>D2532*E2532</f>
        <v>50000</v>
      </c>
      <c r="H2532" s="73"/>
    </row>
    <row r="2533" spans="1:8" ht="17.2" customHeight="1" x14ac:dyDescent="0.3">
      <c r="A2533" s="63"/>
      <c r="B2533" s="63"/>
      <c r="C2533" s="81"/>
      <c r="D2533" s="63"/>
      <c r="E2533" s="64"/>
      <c r="F2533" s="64"/>
      <c r="G2533" s="64"/>
      <c r="H2533" s="73"/>
    </row>
    <row r="2534" spans="1:8" ht="17.2" customHeight="1" x14ac:dyDescent="0.3">
      <c r="A2534" s="63"/>
      <c r="B2534" s="63"/>
      <c r="C2534" s="63"/>
      <c r="D2534" s="63"/>
      <c r="E2534" s="64"/>
      <c r="F2534" s="64"/>
      <c r="G2534" s="64"/>
      <c r="H2534" s="73"/>
    </row>
    <row r="2535" spans="1:8" ht="17.2" customHeight="1" x14ac:dyDescent="0.3">
      <c r="A2535" s="70"/>
      <c r="E2535" s="71" t="s">
        <v>54</v>
      </c>
      <c r="F2535" s="71"/>
      <c r="G2535" s="71"/>
      <c r="H2535" s="119">
        <f>ROUND(SUM(G2532)+(G2533),0)</f>
        <v>50000</v>
      </c>
    </row>
    <row r="2536" spans="1:8" ht="17.2" customHeight="1" x14ac:dyDescent="0.3">
      <c r="A2536" s="59"/>
      <c r="E2536" s="71"/>
      <c r="F2536" s="71"/>
      <c r="G2536" s="71"/>
      <c r="H2536" s="73"/>
    </row>
    <row r="2537" spans="1:8" ht="17.2" customHeight="1" x14ac:dyDescent="0.3">
      <c r="A2537" s="59"/>
      <c r="D2537" s="82" t="s">
        <v>60</v>
      </c>
      <c r="E2537" s="83"/>
      <c r="F2537" s="83"/>
      <c r="G2537" s="83"/>
      <c r="H2537" s="72">
        <f>ROUND(SUM(H2514:H2536),2)</f>
        <v>739125</v>
      </c>
    </row>
    <row r="2538" spans="1:8" ht="17.2" customHeight="1" x14ac:dyDescent="0.3">
      <c r="A2538" s="59"/>
      <c r="E2538" s="71"/>
      <c r="F2538" s="71"/>
      <c r="G2538" s="71"/>
      <c r="H2538" s="73"/>
    </row>
    <row r="2539" spans="1:8" ht="17.2" customHeight="1" x14ac:dyDescent="0.3">
      <c r="A2539" s="61" t="s">
        <v>61</v>
      </c>
      <c r="B2539" s="525" t="s">
        <v>62</v>
      </c>
      <c r="C2539" s="526"/>
      <c r="D2539" s="526"/>
      <c r="E2539" s="526"/>
      <c r="F2539" s="526"/>
      <c r="G2539" s="527"/>
      <c r="H2539" s="73"/>
    </row>
    <row r="2540" spans="1:8" ht="17.2" customHeight="1" x14ac:dyDescent="0.3">
      <c r="A2540" s="62"/>
      <c r="B2540" s="518" t="s">
        <v>34</v>
      </c>
      <c r="C2540" s="519"/>
      <c r="D2540" s="518" t="s">
        <v>63</v>
      </c>
      <c r="E2540" s="519"/>
      <c r="F2540" s="528" t="s">
        <v>64</v>
      </c>
      <c r="G2540" s="529"/>
      <c r="H2540" s="73"/>
    </row>
    <row r="2541" spans="1:8" ht="17.2" customHeight="1" x14ac:dyDescent="0.3">
      <c r="A2541" s="63"/>
      <c r="B2541" s="518" t="s">
        <v>20</v>
      </c>
      <c r="C2541" s="519"/>
      <c r="D2541" s="520">
        <v>0.28000000000000003</v>
      </c>
      <c r="E2541" s="519"/>
      <c r="F2541" s="521">
        <f>+H2537*D2541</f>
        <v>206955.00000000003</v>
      </c>
      <c r="G2541" s="522"/>
      <c r="H2541" s="73"/>
    </row>
    <row r="2542" spans="1:8" ht="17.2" customHeight="1" x14ac:dyDescent="0.3">
      <c r="A2542" s="63"/>
      <c r="B2542" s="518" t="s">
        <v>21</v>
      </c>
      <c r="C2542" s="519"/>
      <c r="D2542" s="520">
        <v>0.01</v>
      </c>
      <c r="E2542" s="519"/>
      <c r="F2542" s="521">
        <f>+H2537*D2542</f>
        <v>7391.25</v>
      </c>
      <c r="G2542" s="522"/>
      <c r="H2542" s="73"/>
    </row>
    <row r="2543" spans="1:8" ht="17.2" customHeight="1" x14ac:dyDescent="0.3">
      <c r="A2543" s="63"/>
      <c r="B2543" s="518" t="s">
        <v>22</v>
      </c>
      <c r="C2543" s="519"/>
      <c r="D2543" s="520">
        <v>0.03</v>
      </c>
      <c r="E2543" s="519"/>
      <c r="F2543" s="521">
        <f>+H2537*D2543</f>
        <v>22173.75</v>
      </c>
      <c r="G2543" s="522"/>
      <c r="H2543" s="73"/>
    </row>
    <row r="2544" spans="1:8" ht="17.2" customHeight="1" x14ac:dyDescent="0.3">
      <c r="A2544" s="63"/>
      <c r="B2544" s="518" t="s">
        <v>188</v>
      </c>
      <c r="C2544" s="519"/>
      <c r="D2544" s="520">
        <v>0.19</v>
      </c>
      <c r="E2544" s="519"/>
      <c r="F2544" s="521">
        <f>D2544*F2543</f>
        <v>4213.0124999999998</v>
      </c>
      <c r="G2544" s="522"/>
      <c r="H2544" s="73"/>
    </row>
    <row r="2545" spans="1:8" ht="17.2" customHeight="1" x14ac:dyDescent="0.3">
      <c r="A2545" s="59"/>
      <c r="D2545" s="82" t="s">
        <v>65</v>
      </c>
      <c r="E2545" s="83"/>
      <c r="F2545" s="83"/>
      <c r="G2545" s="83"/>
      <c r="H2545" s="72">
        <f>SUM(F2541:G2544)</f>
        <v>240733.01250000004</v>
      </c>
    </row>
    <row r="2546" spans="1:8" ht="17.2" customHeight="1" x14ac:dyDescent="0.3">
      <c r="A2546" s="59"/>
      <c r="E2546" s="71"/>
      <c r="F2546" s="71"/>
      <c r="G2546" s="71"/>
      <c r="H2546" s="73"/>
    </row>
    <row r="2547" spans="1:8" ht="17.2" customHeight="1" x14ac:dyDescent="0.3">
      <c r="A2547" s="59"/>
      <c r="D2547" s="82" t="s">
        <v>66</v>
      </c>
      <c r="E2547" s="83"/>
      <c r="F2547" s="83"/>
      <c r="G2547" s="71"/>
      <c r="H2547" s="72">
        <f>H2537+H2545</f>
        <v>979858.01250000007</v>
      </c>
    </row>
    <row r="2548" spans="1:8" ht="17.2" customHeight="1" x14ac:dyDescent="0.3">
      <c r="A2548" s="59"/>
      <c r="D2548" s="82"/>
      <c r="E2548" s="83"/>
      <c r="F2548" s="83"/>
      <c r="G2548" s="71"/>
      <c r="H2548" s="73"/>
    </row>
    <row r="2549" spans="1:8" ht="17.2" customHeight="1" x14ac:dyDescent="0.3">
      <c r="A2549" s="59"/>
      <c r="E2549" s="83"/>
      <c r="F2549" s="83"/>
      <c r="G2549" s="71"/>
      <c r="H2549" s="73"/>
    </row>
    <row r="2550" spans="1:8" ht="17.2" customHeight="1" x14ac:dyDescent="0.3">
      <c r="A2550" s="84"/>
      <c r="B2550" s="85"/>
      <c r="E2550" s="46"/>
      <c r="F2550" s="47"/>
      <c r="G2550" s="48"/>
      <c r="H2550" s="73"/>
    </row>
    <row r="2551" spans="1:8" ht="17.2" customHeight="1" x14ac:dyDescent="0.3">
      <c r="A2551" s="86" t="s">
        <v>67</v>
      </c>
      <c r="B2551" s="50" t="s">
        <v>68</v>
      </c>
      <c r="E2551" s="49" t="s">
        <v>27</v>
      </c>
      <c r="F2551" s="50"/>
      <c r="G2551" s="50"/>
      <c r="H2551" s="87"/>
    </row>
    <row r="2552" spans="1:8" ht="17.2" customHeight="1" x14ac:dyDescent="0.3">
      <c r="A2552" s="88" t="s">
        <v>28</v>
      </c>
      <c r="B2552" s="50"/>
      <c r="E2552" s="50" t="str">
        <f ca="1">+$E$52</f>
        <v>SECRETARIO DE PLANEACION Y OBRAS PUBLICAS</v>
      </c>
      <c r="F2552" s="50"/>
      <c r="G2552" s="50"/>
      <c r="H2552" s="87"/>
    </row>
    <row r="2553" spans="1:8" ht="17.2" customHeight="1" x14ac:dyDescent="0.3">
      <c r="A2553" s="89"/>
      <c r="B2553" s="90"/>
      <c r="C2553" s="85"/>
      <c r="D2553" s="85"/>
      <c r="E2553" s="90" t="str">
        <f ca="1">+$E$53</f>
        <v>SAN MIGUEL - PUTUMAYO</v>
      </c>
      <c r="F2553" s="90"/>
      <c r="G2553" s="90"/>
      <c r="H2553" s="91"/>
    </row>
    <row r="2554" spans="1:8" ht="17.2" customHeight="1" x14ac:dyDescent="0.3">
      <c r="A2554" s="556"/>
      <c r="B2554" s="557"/>
      <c r="C2554" s="380" t="s">
        <v>2</v>
      </c>
      <c r="D2554" s="382" t="s">
        <v>3</v>
      </c>
      <c r="E2554" s="383"/>
      <c r="F2554" s="1">
        <v>103</v>
      </c>
      <c r="G2554" s="548"/>
      <c r="H2554" s="549"/>
    </row>
    <row r="2555" spans="1:8" ht="17.2" customHeight="1" x14ac:dyDescent="0.3">
      <c r="A2555" s="558"/>
      <c r="B2555" s="559"/>
      <c r="C2555" s="381"/>
      <c r="D2555" s="396" t="s">
        <v>4</v>
      </c>
      <c r="E2555" s="397"/>
      <c r="F2555" s="400">
        <v>51</v>
      </c>
      <c r="G2555" s="550"/>
      <c r="H2555" s="551"/>
    </row>
    <row r="2556" spans="1:8" ht="17.2" customHeight="1" x14ac:dyDescent="0.3">
      <c r="A2556" s="558"/>
      <c r="B2556" s="559"/>
      <c r="C2556" s="5" t="s">
        <v>5</v>
      </c>
      <c r="D2556" s="398"/>
      <c r="E2556" s="399"/>
      <c r="F2556" s="401"/>
      <c r="G2556" s="550"/>
      <c r="H2556" s="551"/>
    </row>
    <row r="2557" spans="1:8" ht="17.2" customHeight="1" x14ac:dyDescent="0.3">
      <c r="A2557" s="558"/>
      <c r="B2557" s="559"/>
      <c r="C2557" s="55" t="s">
        <v>6</v>
      </c>
      <c r="D2557" s="402" t="s">
        <v>7</v>
      </c>
      <c r="E2557" s="403"/>
      <c r="F2557" s="7">
        <v>1</v>
      </c>
      <c r="G2557" s="550"/>
      <c r="H2557" s="551"/>
    </row>
    <row r="2558" spans="1:8" ht="17.2" customHeight="1" x14ac:dyDescent="0.3">
      <c r="A2558" s="558"/>
      <c r="B2558" s="559"/>
      <c r="C2558" s="530" t="s">
        <v>8</v>
      </c>
      <c r="D2558" s="532" t="s">
        <v>9</v>
      </c>
      <c r="E2558" s="533"/>
      <c r="F2558" s="5" t="s">
        <v>10</v>
      </c>
      <c r="G2558" s="550"/>
      <c r="H2558" s="551"/>
    </row>
    <row r="2559" spans="1:8" ht="17.2" customHeight="1" x14ac:dyDescent="0.3">
      <c r="A2559" s="560"/>
      <c r="B2559" s="561"/>
      <c r="C2559" s="531"/>
      <c r="D2559" s="534"/>
      <c r="E2559" s="535"/>
      <c r="F2559" s="8">
        <f>$F$6</f>
        <v>45402</v>
      </c>
      <c r="G2559" s="552"/>
      <c r="H2559" s="553"/>
    </row>
    <row r="2560" spans="1:8" ht="17.2" customHeight="1" thickBot="1" x14ac:dyDescent="0.35">
      <c r="A2560" s="536"/>
      <c r="B2560" s="537"/>
      <c r="C2560" s="537"/>
      <c r="D2560" s="537"/>
      <c r="E2560" s="537"/>
      <c r="F2560" s="537"/>
      <c r="G2560" s="537"/>
      <c r="H2560" s="538"/>
    </row>
    <row r="2561" spans="1:8" ht="17.2" customHeight="1" thickBot="1" x14ac:dyDescent="0.35">
      <c r="A2561" s="92">
        <v>7.3</v>
      </c>
      <c r="B2561" s="539" t="str">
        <f>VLOOKUP(A2561,PRESUPUESTO!$A$14:$G$78,2,)</f>
        <v>Puerta de baño en aluminio compuesto corrediza  (0.90x2.10)</v>
      </c>
      <c r="C2561" s="540"/>
      <c r="D2561" s="540"/>
      <c r="E2561" s="540"/>
      <c r="F2561" s="541"/>
      <c r="G2561" s="57" t="s">
        <v>31</v>
      </c>
      <c r="H2561" s="58" t="str">
        <f>VLOOKUP(A2561,PRESUPUESTO!$A$14:$G$78,4,)</f>
        <v>UND</v>
      </c>
    </row>
    <row r="2562" spans="1:8" ht="17.2" customHeight="1" x14ac:dyDescent="0.3">
      <c r="A2562" s="59"/>
      <c r="H2562" s="60"/>
    </row>
    <row r="2563" spans="1:8" ht="17.2" customHeight="1" x14ac:dyDescent="0.3">
      <c r="A2563" s="61" t="s">
        <v>32</v>
      </c>
      <c r="B2563" s="525" t="s">
        <v>33</v>
      </c>
      <c r="C2563" s="526"/>
      <c r="D2563" s="526"/>
      <c r="E2563" s="526"/>
      <c r="F2563" s="526"/>
      <c r="G2563" s="527"/>
      <c r="H2563" s="60"/>
    </row>
    <row r="2564" spans="1:8" ht="26.85" customHeight="1" x14ac:dyDescent="0.3">
      <c r="A2564" s="62"/>
      <c r="B2564" s="518" t="s">
        <v>34</v>
      </c>
      <c r="C2564" s="519"/>
      <c r="D2564" s="62" t="s">
        <v>35</v>
      </c>
      <c r="E2564" s="62" t="s">
        <v>69</v>
      </c>
      <c r="F2564" s="62" t="s">
        <v>70</v>
      </c>
      <c r="G2564" s="62" t="s">
        <v>38</v>
      </c>
      <c r="H2564" s="60"/>
    </row>
    <row r="2565" spans="1:8" ht="17.2" customHeight="1" x14ac:dyDescent="0.3">
      <c r="A2565" s="63"/>
      <c r="B2565" s="542" t="s">
        <v>39</v>
      </c>
      <c r="C2565" s="543"/>
      <c r="D2565" s="63"/>
      <c r="E2565" s="64"/>
      <c r="F2565" s="64">
        <v>0.1</v>
      </c>
      <c r="G2565" s="65">
        <f>ROUND(H2582*F2565,2)</f>
        <v>7218.75</v>
      </c>
      <c r="H2565" s="66"/>
    </row>
    <row r="2566" spans="1:8" ht="17.2" customHeight="1" x14ac:dyDescent="0.3">
      <c r="A2566" s="63"/>
      <c r="B2566" s="542"/>
      <c r="C2566" s="543"/>
      <c r="D2566" s="62"/>
      <c r="E2566" s="68"/>
      <c r="F2566" s="64"/>
      <c r="G2566" s="69"/>
      <c r="H2566" s="66"/>
    </row>
    <row r="2567" spans="1:8" ht="17.2" customHeight="1" x14ac:dyDescent="0.3">
      <c r="A2567" s="70"/>
      <c r="E2567" s="71" t="s">
        <v>40</v>
      </c>
      <c r="F2567" s="71"/>
      <c r="G2567" s="71"/>
      <c r="H2567" s="72">
        <f>ROUND(SUM(G2565:G2566),2)</f>
        <v>7218.75</v>
      </c>
    </row>
    <row r="2568" spans="1:8" ht="28.15" customHeight="1" x14ac:dyDescent="0.3">
      <c r="A2568" s="61" t="s">
        <v>41</v>
      </c>
      <c r="B2568" s="525" t="s">
        <v>42</v>
      </c>
      <c r="C2568" s="526"/>
      <c r="D2568" s="526"/>
      <c r="E2568" s="526"/>
      <c r="F2568" s="526"/>
      <c r="G2568" s="527"/>
      <c r="H2568" s="73"/>
    </row>
    <row r="2569" spans="1:8" ht="17.2" customHeight="1" x14ac:dyDescent="0.3">
      <c r="A2569" s="62"/>
      <c r="B2569" s="518" t="s">
        <v>34</v>
      </c>
      <c r="C2569" s="519"/>
      <c r="D2569" s="63" t="s">
        <v>43</v>
      </c>
      <c r="E2569" s="74" t="s">
        <v>44</v>
      </c>
      <c r="F2569" s="74" t="s">
        <v>45</v>
      </c>
      <c r="G2569" s="74" t="s">
        <v>38</v>
      </c>
      <c r="H2569" s="73"/>
    </row>
    <row r="2570" spans="1:8" ht="17.2" customHeight="1" x14ac:dyDescent="0.3">
      <c r="A2570" s="63"/>
      <c r="B2570" s="544" t="s">
        <v>406</v>
      </c>
      <c r="C2570" s="545"/>
      <c r="D2570" s="270" t="s">
        <v>178</v>
      </c>
      <c r="E2570" s="94">
        <v>1.5</v>
      </c>
      <c r="F2570" s="95">
        <v>68000</v>
      </c>
      <c r="G2570" s="120">
        <f>ROUND(E2570*F2570,2)</f>
        <v>102000</v>
      </c>
      <c r="H2570" s="73"/>
    </row>
    <row r="2571" spans="1:8" ht="17.2" customHeight="1" x14ac:dyDescent="0.3">
      <c r="A2571" s="63"/>
      <c r="B2571" s="546" t="s">
        <v>407</v>
      </c>
      <c r="C2571" s="547"/>
      <c r="D2571" s="270" t="s">
        <v>233</v>
      </c>
      <c r="E2571" s="94">
        <v>1.2</v>
      </c>
      <c r="F2571" s="95">
        <v>35000</v>
      </c>
      <c r="G2571" s="67">
        <f t="shared" ref="G2571:G2575" si="35">ROUND(E2571*F2571,2)</f>
        <v>42000</v>
      </c>
      <c r="H2571" s="73"/>
    </row>
    <row r="2572" spans="1:8" ht="17.2" customHeight="1" x14ac:dyDescent="0.3">
      <c r="A2572" s="63"/>
      <c r="B2572" s="546" t="s">
        <v>408</v>
      </c>
      <c r="C2572" s="547"/>
      <c r="D2572" s="270" t="s">
        <v>218</v>
      </c>
      <c r="E2572" s="94">
        <v>1</v>
      </c>
      <c r="F2572" s="95">
        <v>85000</v>
      </c>
      <c r="G2572" s="67">
        <f t="shared" si="35"/>
        <v>85000</v>
      </c>
      <c r="H2572" s="73"/>
    </row>
    <row r="2573" spans="1:8" ht="17.2" customHeight="1" x14ac:dyDescent="0.3">
      <c r="A2573" s="63"/>
      <c r="B2573" s="523" t="s">
        <v>409</v>
      </c>
      <c r="C2573" s="524"/>
      <c r="D2573" s="93" t="s">
        <v>218</v>
      </c>
      <c r="E2573" s="94">
        <v>3</v>
      </c>
      <c r="F2573" s="95">
        <v>12000</v>
      </c>
      <c r="G2573" s="67">
        <f t="shared" si="35"/>
        <v>36000</v>
      </c>
      <c r="H2573" s="73"/>
    </row>
    <row r="2574" spans="1:8" ht="17.2" customHeight="1" x14ac:dyDescent="0.3">
      <c r="A2574" s="63"/>
      <c r="B2574" s="523" t="s">
        <v>410</v>
      </c>
      <c r="C2574" s="524"/>
      <c r="D2574" s="93" t="s">
        <v>218</v>
      </c>
      <c r="E2574" s="94">
        <v>1</v>
      </c>
      <c r="F2574" s="95">
        <v>28000</v>
      </c>
      <c r="G2574" s="67">
        <f t="shared" si="35"/>
        <v>28000</v>
      </c>
      <c r="H2574" s="73"/>
    </row>
    <row r="2575" spans="1:8" ht="17.2" customHeight="1" x14ac:dyDescent="0.3">
      <c r="A2575" s="63"/>
      <c r="B2575" s="523" t="s">
        <v>411</v>
      </c>
      <c r="C2575" s="524"/>
      <c r="D2575" s="93" t="s">
        <v>218</v>
      </c>
      <c r="E2575" s="94">
        <v>1</v>
      </c>
      <c r="F2575" s="95">
        <v>18000</v>
      </c>
      <c r="G2575" s="67">
        <f t="shared" si="35"/>
        <v>18000</v>
      </c>
      <c r="H2575" s="73"/>
    </row>
    <row r="2576" spans="1:8" ht="17.2" customHeight="1" x14ac:dyDescent="0.3">
      <c r="A2576" s="70" t="s">
        <v>46</v>
      </c>
      <c r="E2576" s="71" t="s">
        <v>47</v>
      </c>
      <c r="F2576" s="71"/>
      <c r="G2576" s="71"/>
      <c r="H2576" s="76">
        <f>ROUND(SUM(G2570:G2575),2)</f>
        <v>311000</v>
      </c>
    </row>
    <row r="2577" spans="1:8" ht="13.75" customHeight="1" x14ac:dyDescent="0.3">
      <c r="A2577" s="61" t="s">
        <v>48</v>
      </c>
      <c r="B2577" s="525" t="s">
        <v>49</v>
      </c>
      <c r="C2577" s="526"/>
      <c r="D2577" s="526"/>
      <c r="E2577" s="526"/>
      <c r="F2577" s="526"/>
      <c r="G2577" s="527"/>
      <c r="H2577" s="73"/>
    </row>
    <row r="2578" spans="1:8" ht="17.2" customHeight="1" x14ac:dyDescent="0.3">
      <c r="A2578" s="62" t="s">
        <v>50</v>
      </c>
      <c r="B2578" s="62" t="s">
        <v>34</v>
      </c>
      <c r="C2578" s="62" t="s">
        <v>51</v>
      </c>
      <c r="D2578" s="62" t="s">
        <v>52</v>
      </c>
      <c r="E2578" s="74" t="s">
        <v>53</v>
      </c>
      <c r="F2578" s="64" t="s">
        <v>260</v>
      </c>
      <c r="G2578" s="64" t="s">
        <v>38</v>
      </c>
      <c r="H2578" s="73"/>
    </row>
    <row r="2579" spans="1:8" ht="17.2" customHeight="1" x14ac:dyDescent="0.3">
      <c r="A2579" s="62">
        <v>1</v>
      </c>
      <c r="B2579" s="63" t="s">
        <v>79</v>
      </c>
      <c r="C2579" s="77">
        <v>120000</v>
      </c>
      <c r="D2579" s="78">
        <v>0.75</v>
      </c>
      <c r="E2579" s="79">
        <f>+(A2579*C2579)+(A2579*C2579*D2579)</f>
        <v>210000</v>
      </c>
      <c r="F2579" s="75">
        <v>8</v>
      </c>
      <c r="G2579" s="65">
        <f>ROUND(E2579/(F2579),2)</f>
        <v>26250</v>
      </c>
      <c r="H2579" s="73"/>
    </row>
    <row r="2580" spans="1:8" ht="17.2" customHeight="1" x14ac:dyDescent="0.3">
      <c r="A2580" s="62">
        <v>3</v>
      </c>
      <c r="B2580" s="63" t="s">
        <v>80</v>
      </c>
      <c r="C2580" s="77">
        <v>70000</v>
      </c>
      <c r="D2580" s="78">
        <v>0.75</v>
      </c>
      <c r="E2580" s="79">
        <f>+(A2580*C2580)+(A2580*C2580*D2580)</f>
        <v>367500</v>
      </c>
      <c r="F2580" s="75">
        <v>8</v>
      </c>
      <c r="G2580" s="65">
        <f>ROUND(E2580/(F2580),2)</f>
        <v>45937.5</v>
      </c>
      <c r="H2580" s="73"/>
    </row>
    <row r="2581" spans="1:8" ht="17.2" customHeight="1" x14ac:dyDescent="0.3">
      <c r="A2581" s="63"/>
      <c r="B2581" s="63"/>
      <c r="C2581" s="63"/>
      <c r="D2581" s="63"/>
      <c r="E2581" s="64"/>
      <c r="F2581" s="64"/>
      <c r="G2581" s="64"/>
      <c r="H2581" s="73"/>
    </row>
    <row r="2582" spans="1:8" ht="17.2" customHeight="1" x14ac:dyDescent="0.3">
      <c r="A2582" s="70"/>
      <c r="E2582" s="71" t="s">
        <v>54</v>
      </c>
      <c r="F2582" s="71"/>
      <c r="G2582" s="71"/>
      <c r="H2582" s="72">
        <f>ROUND(SUM(G2579)+(G2580),2)</f>
        <v>72187.5</v>
      </c>
    </row>
    <row r="2583" spans="1:8" ht="17.2" customHeight="1" x14ac:dyDescent="0.3">
      <c r="A2583" s="61" t="s">
        <v>55</v>
      </c>
      <c r="B2583" s="525" t="s">
        <v>56</v>
      </c>
      <c r="C2583" s="526"/>
      <c r="D2583" s="526"/>
      <c r="E2583" s="526"/>
      <c r="F2583" s="526"/>
      <c r="G2583" s="527"/>
      <c r="H2583" s="73"/>
    </row>
    <row r="2584" spans="1:8" ht="17.2" customHeight="1" x14ac:dyDescent="0.3">
      <c r="A2584" s="63"/>
      <c r="B2584" s="63" t="s">
        <v>34</v>
      </c>
      <c r="C2584" s="62" t="s">
        <v>43</v>
      </c>
      <c r="D2584" s="62" t="s">
        <v>57</v>
      </c>
      <c r="E2584" s="62" t="s">
        <v>58</v>
      </c>
      <c r="F2584" s="62"/>
      <c r="G2584" s="64" t="s">
        <v>59</v>
      </c>
      <c r="H2584" s="73"/>
    </row>
    <row r="2585" spans="1:8" ht="17.2" customHeight="1" x14ac:dyDescent="0.3">
      <c r="A2585" s="63"/>
      <c r="B2585" s="63" t="s">
        <v>82</v>
      </c>
      <c r="C2585" s="80" t="s">
        <v>83</v>
      </c>
      <c r="D2585" s="63">
        <v>1</v>
      </c>
      <c r="E2585" s="64">
        <v>30000</v>
      </c>
      <c r="F2585" s="64"/>
      <c r="G2585" s="64">
        <f>D2585*E2585</f>
        <v>30000</v>
      </c>
      <c r="H2585" s="73"/>
    </row>
    <row r="2586" spans="1:8" ht="17.2" customHeight="1" x14ac:dyDescent="0.3">
      <c r="A2586" s="63"/>
      <c r="B2586" s="63"/>
      <c r="C2586" s="81"/>
      <c r="D2586" s="63"/>
      <c r="E2586" s="64"/>
      <c r="F2586" s="64"/>
      <c r="G2586" s="64"/>
      <c r="H2586" s="73"/>
    </row>
    <row r="2587" spans="1:8" ht="17.2" customHeight="1" x14ac:dyDescent="0.3">
      <c r="A2587" s="63"/>
      <c r="B2587" s="63"/>
      <c r="C2587" s="63"/>
      <c r="D2587" s="63"/>
      <c r="E2587" s="64"/>
      <c r="F2587" s="64"/>
      <c r="G2587" s="64"/>
      <c r="H2587" s="73"/>
    </row>
    <row r="2588" spans="1:8" ht="17.2" customHeight="1" x14ac:dyDescent="0.3">
      <c r="A2588" s="70"/>
      <c r="E2588" s="71" t="s">
        <v>54</v>
      </c>
      <c r="F2588" s="71"/>
      <c r="G2588" s="71"/>
      <c r="H2588" s="119">
        <f>ROUND(SUM(G2585)+(G2586),0)</f>
        <v>30000</v>
      </c>
    </row>
    <row r="2589" spans="1:8" ht="17.2" customHeight="1" x14ac:dyDescent="0.3">
      <c r="A2589" s="59"/>
      <c r="E2589" s="71"/>
      <c r="F2589" s="71"/>
      <c r="G2589" s="71"/>
      <c r="H2589" s="73"/>
    </row>
    <row r="2590" spans="1:8" ht="17.2" customHeight="1" x14ac:dyDescent="0.3">
      <c r="A2590" s="59"/>
      <c r="D2590" s="82" t="s">
        <v>60</v>
      </c>
      <c r="E2590" s="83"/>
      <c r="F2590" s="83"/>
      <c r="G2590" s="83"/>
      <c r="H2590" s="72">
        <f>ROUND(SUM(H2567:H2589),2)</f>
        <v>420406.25</v>
      </c>
    </row>
    <row r="2591" spans="1:8" ht="17.2" customHeight="1" x14ac:dyDescent="0.3">
      <c r="A2591" s="59"/>
      <c r="E2591" s="71"/>
      <c r="F2591" s="71"/>
      <c r="G2591" s="71"/>
      <c r="H2591" s="73"/>
    </row>
    <row r="2592" spans="1:8" ht="17.2" customHeight="1" x14ac:dyDescent="0.3">
      <c r="A2592" s="61" t="s">
        <v>61</v>
      </c>
      <c r="B2592" s="525" t="s">
        <v>62</v>
      </c>
      <c r="C2592" s="526"/>
      <c r="D2592" s="526"/>
      <c r="E2592" s="526"/>
      <c r="F2592" s="526"/>
      <c r="G2592" s="527"/>
      <c r="H2592" s="73"/>
    </row>
    <row r="2593" spans="1:8" ht="17.2" customHeight="1" x14ac:dyDescent="0.3">
      <c r="A2593" s="62"/>
      <c r="B2593" s="518" t="s">
        <v>34</v>
      </c>
      <c r="C2593" s="519"/>
      <c r="D2593" s="518" t="s">
        <v>63</v>
      </c>
      <c r="E2593" s="519"/>
      <c r="F2593" s="528" t="s">
        <v>64</v>
      </c>
      <c r="G2593" s="529"/>
      <c r="H2593" s="73"/>
    </row>
    <row r="2594" spans="1:8" ht="17.2" customHeight="1" x14ac:dyDescent="0.3">
      <c r="A2594" s="63"/>
      <c r="B2594" s="518" t="s">
        <v>20</v>
      </c>
      <c r="C2594" s="519"/>
      <c r="D2594" s="520">
        <v>0.28000000000000003</v>
      </c>
      <c r="E2594" s="519"/>
      <c r="F2594" s="521">
        <f>+H2590*D2594</f>
        <v>117713.75000000001</v>
      </c>
      <c r="G2594" s="522"/>
      <c r="H2594" s="73"/>
    </row>
    <row r="2595" spans="1:8" ht="17.2" customHeight="1" x14ac:dyDescent="0.3">
      <c r="A2595" s="63"/>
      <c r="B2595" s="518" t="s">
        <v>21</v>
      </c>
      <c r="C2595" s="519"/>
      <c r="D2595" s="520">
        <v>0.01</v>
      </c>
      <c r="E2595" s="519"/>
      <c r="F2595" s="521">
        <f>+H2590*D2595</f>
        <v>4204.0625</v>
      </c>
      <c r="G2595" s="522"/>
      <c r="H2595" s="73"/>
    </row>
    <row r="2596" spans="1:8" ht="17.2" customHeight="1" x14ac:dyDescent="0.3">
      <c r="A2596" s="63"/>
      <c r="B2596" s="518" t="s">
        <v>22</v>
      </c>
      <c r="C2596" s="519"/>
      <c r="D2596" s="520">
        <v>0.03</v>
      </c>
      <c r="E2596" s="519"/>
      <c r="F2596" s="521">
        <f>+H2590*D2596</f>
        <v>12612.1875</v>
      </c>
      <c r="G2596" s="522"/>
      <c r="H2596" s="73"/>
    </row>
    <row r="2597" spans="1:8" ht="17.2" customHeight="1" x14ac:dyDescent="0.3">
      <c r="A2597" s="63"/>
      <c r="B2597" s="518" t="s">
        <v>188</v>
      </c>
      <c r="C2597" s="519"/>
      <c r="D2597" s="520">
        <v>0.19</v>
      </c>
      <c r="E2597" s="519"/>
      <c r="F2597" s="521">
        <f>D2597*F2596</f>
        <v>2396.3156250000002</v>
      </c>
      <c r="G2597" s="522"/>
      <c r="H2597" s="73"/>
    </row>
    <row r="2598" spans="1:8" ht="17.2" customHeight="1" x14ac:dyDescent="0.3">
      <c r="A2598" s="59"/>
      <c r="D2598" s="82" t="s">
        <v>65</v>
      </c>
      <c r="E2598" s="83"/>
      <c r="F2598" s="83"/>
      <c r="G2598" s="83"/>
      <c r="H2598" s="72">
        <f>SUM(F2594:G2597)</f>
        <v>136926.31562499999</v>
      </c>
    </row>
    <row r="2599" spans="1:8" ht="17.2" customHeight="1" x14ac:dyDescent="0.3">
      <c r="A2599" s="59"/>
      <c r="E2599" s="71"/>
      <c r="F2599" s="71"/>
      <c r="G2599" s="71"/>
      <c r="H2599" s="73"/>
    </row>
    <row r="2600" spans="1:8" ht="17.2" customHeight="1" x14ac:dyDescent="0.3">
      <c r="A2600" s="59"/>
      <c r="D2600" s="82" t="s">
        <v>66</v>
      </c>
      <c r="E2600" s="83"/>
      <c r="F2600" s="83"/>
      <c r="G2600" s="71"/>
      <c r="H2600" s="72">
        <f>H2590+H2598</f>
        <v>557332.56562500005</v>
      </c>
    </row>
    <row r="2601" spans="1:8" ht="17.2" customHeight="1" x14ac:dyDescent="0.3">
      <c r="A2601" s="59"/>
      <c r="D2601" s="82"/>
      <c r="E2601" s="83"/>
      <c r="F2601" s="83"/>
      <c r="G2601" s="71"/>
      <c r="H2601" s="73"/>
    </row>
    <row r="2602" spans="1:8" ht="17.2" customHeight="1" x14ac:dyDescent="0.3">
      <c r="A2602" s="59"/>
      <c r="E2602" s="83"/>
      <c r="F2602" s="83"/>
      <c r="G2602" s="71"/>
      <c r="H2602" s="73"/>
    </row>
    <row r="2603" spans="1:8" ht="17.2" customHeight="1" x14ac:dyDescent="0.3">
      <c r="A2603" s="84"/>
      <c r="B2603" s="85"/>
      <c r="E2603" s="46"/>
      <c r="F2603" s="47"/>
      <c r="G2603" s="48"/>
      <c r="H2603" s="73"/>
    </row>
    <row r="2604" spans="1:8" ht="17.2" customHeight="1" x14ac:dyDescent="0.3">
      <c r="A2604" s="86" t="s">
        <v>67</v>
      </c>
      <c r="B2604" s="50" t="s">
        <v>68</v>
      </c>
      <c r="E2604" s="49" t="s">
        <v>27</v>
      </c>
      <c r="F2604" s="50"/>
      <c r="G2604" s="50"/>
      <c r="H2604" s="87"/>
    </row>
    <row r="2605" spans="1:8" ht="17.2" customHeight="1" x14ac:dyDescent="0.3">
      <c r="A2605" s="88" t="s">
        <v>28</v>
      </c>
      <c r="B2605" s="50"/>
      <c r="E2605" s="50" t="str">
        <f ca="1">+$E$52</f>
        <v>SECRETARIO DE PLANEACION Y OBRAS PUBLICAS</v>
      </c>
      <c r="F2605" s="50"/>
      <c r="G2605" s="50"/>
      <c r="H2605" s="87"/>
    </row>
    <row r="2606" spans="1:8" ht="17.2" customHeight="1" x14ac:dyDescent="0.3">
      <c r="A2606" s="88"/>
      <c r="B2606" s="50"/>
      <c r="E2606" s="50" t="str">
        <f>PRESUPUESTO!E96</f>
        <v>SAN MIGUEL - PUTUMAYO</v>
      </c>
      <c r="F2606" s="50"/>
      <c r="G2606" s="50"/>
      <c r="H2606" s="87"/>
    </row>
    <row r="2607" spans="1:8" ht="17.2" customHeight="1" x14ac:dyDescent="0.3">
      <c r="A2607" s="88"/>
      <c r="B2607" s="50"/>
      <c r="E2607" s="50"/>
      <c r="F2607" s="50"/>
      <c r="G2607" s="50"/>
      <c r="H2607" s="87"/>
    </row>
    <row r="2608" spans="1:8" ht="17.2" customHeight="1" x14ac:dyDescent="0.3">
      <c r="A2608" s="556"/>
      <c r="B2608" s="557"/>
      <c r="C2608" s="380" t="s">
        <v>2</v>
      </c>
      <c r="D2608" s="382" t="s">
        <v>3</v>
      </c>
      <c r="E2608" s="383"/>
      <c r="F2608" s="1">
        <v>103</v>
      </c>
      <c r="G2608" s="548"/>
      <c r="H2608" s="549"/>
    </row>
    <row r="2609" spans="1:8" ht="17.2" customHeight="1" x14ac:dyDescent="0.3">
      <c r="A2609" s="558"/>
      <c r="B2609" s="559"/>
      <c r="C2609" s="381"/>
      <c r="D2609" s="396" t="s">
        <v>4</v>
      </c>
      <c r="E2609" s="397"/>
      <c r="F2609" s="400">
        <v>51</v>
      </c>
      <c r="G2609" s="550"/>
      <c r="H2609" s="551"/>
    </row>
    <row r="2610" spans="1:8" ht="17.2" customHeight="1" x14ac:dyDescent="0.3">
      <c r="A2610" s="558"/>
      <c r="B2610" s="559"/>
      <c r="C2610" s="5" t="s">
        <v>5</v>
      </c>
      <c r="D2610" s="398"/>
      <c r="E2610" s="399"/>
      <c r="F2610" s="401"/>
      <c r="G2610" s="550"/>
      <c r="H2610" s="551"/>
    </row>
    <row r="2611" spans="1:8" ht="17.2" customHeight="1" x14ac:dyDescent="0.3">
      <c r="A2611" s="558"/>
      <c r="B2611" s="559"/>
      <c r="C2611" s="55" t="s">
        <v>6</v>
      </c>
      <c r="D2611" s="402" t="s">
        <v>7</v>
      </c>
      <c r="E2611" s="403"/>
      <c r="F2611" s="7">
        <v>1</v>
      </c>
      <c r="G2611" s="550"/>
      <c r="H2611" s="551"/>
    </row>
    <row r="2612" spans="1:8" ht="17.2" customHeight="1" x14ac:dyDescent="0.3">
      <c r="A2612" s="558"/>
      <c r="B2612" s="559"/>
      <c r="C2612" s="530" t="s">
        <v>8</v>
      </c>
      <c r="D2612" s="532" t="s">
        <v>9</v>
      </c>
      <c r="E2612" s="533"/>
      <c r="F2612" s="5" t="s">
        <v>10</v>
      </c>
      <c r="G2612" s="550"/>
      <c r="H2612" s="551"/>
    </row>
    <row r="2613" spans="1:8" ht="18.2" customHeight="1" x14ac:dyDescent="0.3">
      <c r="A2613" s="560"/>
      <c r="B2613" s="561"/>
      <c r="C2613" s="531"/>
      <c r="D2613" s="534"/>
      <c r="E2613" s="535"/>
      <c r="F2613" s="8">
        <f>$F$6</f>
        <v>45402</v>
      </c>
      <c r="G2613" s="552"/>
      <c r="H2613" s="553"/>
    </row>
    <row r="2614" spans="1:8" ht="18.2" customHeight="1" thickBot="1" x14ac:dyDescent="0.35">
      <c r="A2614" s="536"/>
      <c r="B2614" s="537"/>
      <c r="C2614" s="537"/>
      <c r="D2614" s="537"/>
      <c r="E2614" s="537"/>
      <c r="F2614" s="537"/>
      <c r="G2614" s="537"/>
      <c r="H2614" s="538"/>
    </row>
    <row r="2615" spans="1:8" ht="17.2" customHeight="1" thickBot="1" x14ac:dyDescent="0.35">
      <c r="A2615" s="92">
        <v>7.4</v>
      </c>
      <c r="B2615" s="539" t="str">
        <f>VLOOKUP(A2615,PRESUPUESTO!$A$14:$G$78,2,)</f>
        <v>Ventana en aluminio tipo persiana (0.90x0.60)</v>
      </c>
      <c r="C2615" s="540"/>
      <c r="D2615" s="540"/>
      <c r="E2615" s="540"/>
      <c r="F2615" s="541"/>
      <c r="G2615" s="57" t="s">
        <v>31</v>
      </c>
      <c r="H2615" s="58" t="str">
        <f>VLOOKUP(A2615,PRESUPUESTO!$A$14:$G$78,4,)</f>
        <v>UND</v>
      </c>
    </row>
    <row r="2616" spans="1:8" ht="17.2" customHeight="1" x14ac:dyDescent="0.3">
      <c r="A2616" s="59"/>
      <c r="H2616" s="60"/>
    </row>
    <row r="2617" spans="1:8" ht="17.2" customHeight="1" x14ac:dyDescent="0.3">
      <c r="A2617" s="61" t="s">
        <v>32</v>
      </c>
      <c r="B2617" s="525" t="s">
        <v>33</v>
      </c>
      <c r="C2617" s="526"/>
      <c r="D2617" s="526"/>
      <c r="E2617" s="526"/>
      <c r="F2617" s="526"/>
      <c r="G2617" s="527"/>
      <c r="H2617" s="60"/>
    </row>
    <row r="2618" spans="1:8" ht="26.85" customHeight="1" x14ac:dyDescent="0.3">
      <c r="A2618" s="62"/>
      <c r="B2618" s="518" t="s">
        <v>34</v>
      </c>
      <c r="C2618" s="519"/>
      <c r="D2618" s="62" t="s">
        <v>35</v>
      </c>
      <c r="E2618" s="62" t="s">
        <v>69</v>
      </c>
      <c r="F2618" s="62" t="s">
        <v>70</v>
      </c>
      <c r="G2618" s="62" t="s">
        <v>38</v>
      </c>
      <c r="H2618" s="60"/>
    </row>
    <row r="2619" spans="1:8" ht="17.2" customHeight="1" x14ac:dyDescent="0.3">
      <c r="A2619" s="63"/>
      <c r="B2619" s="542" t="s">
        <v>39</v>
      </c>
      <c r="C2619" s="543"/>
      <c r="D2619" s="63"/>
      <c r="E2619" s="64"/>
      <c r="F2619" s="64">
        <v>0.1</v>
      </c>
      <c r="G2619" s="65">
        <f>ROUND(H2636*F2619,2)</f>
        <v>14437.5</v>
      </c>
      <c r="H2619" s="66"/>
    </row>
    <row r="2620" spans="1:8" ht="17.2" customHeight="1" x14ac:dyDescent="0.3">
      <c r="A2620" s="63"/>
      <c r="B2620" s="542"/>
      <c r="C2620" s="543"/>
      <c r="D2620" s="62"/>
      <c r="E2620" s="68"/>
      <c r="F2620" s="64"/>
      <c r="G2620" s="69"/>
      <c r="H2620" s="66"/>
    </row>
    <row r="2621" spans="1:8" ht="17.2" customHeight="1" x14ac:dyDescent="0.3">
      <c r="A2621" s="70"/>
      <c r="E2621" s="71" t="s">
        <v>40</v>
      </c>
      <c r="F2621" s="71"/>
      <c r="G2621" s="71"/>
      <c r="H2621" s="72">
        <f>ROUND(SUM(G2619:G2620),2)</f>
        <v>14437.5</v>
      </c>
    </row>
    <row r="2622" spans="1:8" ht="28.15" customHeight="1" x14ac:dyDescent="0.3">
      <c r="A2622" s="61" t="s">
        <v>41</v>
      </c>
      <c r="B2622" s="525" t="s">
        <v>42</v>
      </c>
      <c r="C2622" s="526"/>
      <c r="D2622" s="526"/>
      <c r="E2622" s="526"/>
      <c r="F2622" s="526"/>
      <c r="G2622" s="527"/>
      <c r="H2622" s="73"/>
    </row>
    <row r="2623" spans="1:8" ht="17.2" customHeight="1" x14ac:dyDescent="0.3">
      <c r="A2623" s="62"/>
      <c r="B2623" s="518" t="s">
        <v>34</v>
      </c>
      <c r="C2623" s="519"/>
      <c r="D2623" s="63" t="s">
        <v>43</v>
      </c>
      <c r="E2623" s="74" t="s">
        <v>44</v>
      </c>
      <c r="F2623" s="74" t="s">
        <v>45</v>
      </c>
      <c r="G2623" s="74" t="s">
        <v>38</v>
      </c>
      <c r="H2623" s="73"/>
    </row>
    <row r="2624" spans="1:8" ht="17.2" customHeight="1" x14ac:dyDescent="0.3">
      <c r="A2624" s="63"/>
      <c r="B2624" s="544" t="s">
        <v>343</v>
      </c>
      <c r="C2624" s="545"/>
      <c r="D2624" s="270" t="s">
        <v>218</v>
      </c>
      <c r="E2624" s="94">
        <v>1</v>
      </c>
      <c r="F2624" s="95">
        <v>320000</v>
      </c>
      <c r="G2624" s="120">
        <f>ROUND(E2624*F2624,2)</f>
        <v>320000</v>
      </c>
      <c r="H2624" s="73"/>
    </row>
    <row r="2625" spans="1:8" ht="17.2" customHeight="1" x14ac:dyDescent="0.3">
      <c r="A2625" s="63"/>
      <c r="B2625" s="546" t="s">
        <v>344</v>
      </c>
      <c r="C2625" s="547"/>
      <c r="D2625" s="270" t="s">
        <v>218</v>
      </c>
      <c r="E2625" s="94">
        <v>1</v>
      </c>
      <c r="F2625" s="95">
        <v>70000</v>
      </c>
      <c r="G2625" s="67">
        <f t="shared" ref="G2625:G2627" si="36">ROUND(E2625*F2625,2)</f>
        <v>70000</v>
      </c>
      <c r="H2625" s="73"/>
    </row>
    <row r="2626" spans="1:8" ht="17.2" customHeight="1" x14ac:dyDescent="0.3">
      <c r="A2626" s="63"/>
      <c r="B2626" s="546" t="s">
        <v>342</v>
      </c>
      <c r="C2626" s="547"/>
      <c r="D2626" s="270" t="s">
        <v>218</v>
      </c>
      <c r="E2626" s="94">
        <v>1</v>
      </c>
      <c r="F2626" s="95">
        <v>12000</v>
      </c>
      <c r="G2626" s="67">
        <f t="shared" si="36"/>
        <v>12000</v>
      </c>
      <c r="H2626" s="73"/>
    </row>
    <row r="2627" spans="1:8" ht="17.2" customHeight="1" x14ac:dyDescent="0.3">
      <c r="A2627" s="63"/>
      <c r="B2627" s="523" t="s">
        <v>345</v>
      </c>
      <c r="C2627" s="524"/>
      <c r="D2627" s="93" t="s">
        <v>218</v>
      </c>
      <c r="E2627" s="94">
        <v>1</v>
      </c>
      <c r="F2627" s="95">
        <v>15000</v>
      </c>
      <c r="G2627" s="67">
        <f t="shared" si="36"/>
        <v>15000</v>
      </c>
      <c r="H2627" s="73"/>
    </row>
    <row r="2628" spans="1:8" ht="17.2" customHeight="1" x14ac:dyDescent="0.3">
      <c r="A2628" s="63"/>
      <c r="B2628" s="523"/>
      <c r="C2628" s="524"/>
      <c r="D2628" s="93"/>
      <c r="E2628" s="94"/>
      <c r="F2628" s="95"/>
      <c r="G2628" s="67"/>
      <c r="H2628" s="73"/>
    </row>
    <row r="2629" spans="1:8" ht="17.2" customHeight="1" x14ac:dyDescent="0.3">
      <c r="A2629" s="63"/>
      <c r="B2629" s="523"/>
      <c r="C2629" s="524"/>
      <c r="D2629" s="93"/>
      <c r="E2629" s="94"/>
      <c r="F2629" s="95"/>
      <c r="G2629" s="67"/>
      <c r="H2629" s="73"/>
    </row>
    <row r="2630" spans="1:8" ht="17.2" customHeight="1" x14ac:dyDescent="0.3">
      <c r="A2630" s="70" t="s">
        <v>46</v>
      </c>
      <c r="E2630" s="71" t="s">
        <v>47</v>
      </c>
      <c r="F2630" s="71"/>
      <c r="G2630" s="71"/>
      <c r="H2630" s="76">
        <f>ROUND(SUM(G2624:G2629),2)</f>
        <v>417000</v>
      </c>
    </row>
    <row r="2631" spans="1:8" ht="13.75" customHeight="1" x14ac:dyDescent="0.3">
      <c r="A2631" s="61" t="s">
        <v>48</v>
      </c>
      <c r="B2631" s="525" t="s">
        <v>49</v>
      </c>
      <c r="C2631" s="526"/>
      <c r="D2631" s="526"/>
      <c r="E2631" s="526"/>
      <c r="F2631" s="526"/>
      <c r="G2631" s="527"/>
      <c r="H2631" s="73"/>
    </row>
    <row r="2632" spans="1:8" ht="17.2" customHeight="1" x14ac:dyDescent="0.3">
      <c r="A2632" s="62" t="s">
        <v>50</v>
      </c>
      <c r="B2632" s="62" t="s">
        <v>34</v>
      </c>
      <c r="C2632" s="62" t="s">
        <v>51</v>
      </c>
      <c r="D2632" s="62" t="s">
        <v>52</v>
      </c>
      <c r="E2632" s="74" t="s">
        <v>53</v>
      </c>
      <c r="F2632" s="64" t="s">
        <v>260</v>
      </c>
      <c r="G2632" s="64" t="s">
        <v>38</v>
      </c>
      <c r="H2632" s="73"/>
    </row>
    <row r="2633" spans="1:8" ht="17.2" customHeight="1" x14ac:dyDescent="0.3">
      <c r="A2633" s="62">
        <v>1</v>
      </c>
      <c r="B2633" s="63" t="s">
        <v>79</v>
      </c>
      <c r="C2633" s="77">
        <v>120000</v>
      </c>
      <c r="D2633" s="78">
        <v>0.75</v>
      </c>
      <c r="E2633" s="79">
        <f>+(A2633*C2633)+(A2633*C2633*D2633)</f>
        <v>210000</v>
      </c>
      <c r="F2633" s="75">
        <v>4</v>
      </c>
      <c r="G2633" s="65">
        <f>ROUND(E2633/(F2633),2)</f>
        <v>52500</v>
      </c>
      <c r="H2633" s="73"/>
    </row>
    <row r="2634" spans="1:8" ht="17.2" customHeight="1" x14ac:dyDescent="0.3">
      <c r="A2634" s="62">
        <v>3</v>
      </c>
      <c r="B2634" s="63" t="s">
        <v>80</v>
      </c>
      <c r="C2634" s="77">
        <v>70000</v>
      </c>
      <c r="D2634" s="78">
        <v>0.75</v>
      </c>
      <c r="E2634" s="79">
        <f>+(A2634*C2634)+(A2634*C2634*D2634)</f>
        <v>367500</v>
      </c>
      <c r="F2634" s="75">
        <v>4</v>
      </c>
      <c r="G2634" s="65">
        <f>ROUND(E2634/(F2634),2)</f>
        <v>91875</v>
      </c>
      <c r="H2634" s="73"/>
    </row>
    <row r="2635" spans="1:8" ht="17.2" customHeight="1" x14ac:dyDescent="0.3">
      <c r="A2635" s="63"/>
      <c r="B2635" s="63"/>
      <c r="C2635" s="63"/>
      <c r="D2635" s="63"/>
      <c r="E2635" s="64"/>
      <c r="F2635" s="64"/>
      <c r="G2635" s="64"/>
      <c r="H2635" s="73"/>
    </row>
    <row r="2636" spans="1:8" ht="17.2" customHeight="1" x14ac:dyDescent="0.3">
      <c r="A2636" s="70"/>
      <c r="E2636" s="71" t="s">
        <v>54</v>
      </c>
      <c r="F2636" s="71"/>
      <c r="G2636" s="71"/>
      <c r="H2636" s="72">
        <f>ROUND(SUM(G2633)+(G2634),2)</f>
        <v>144375</v>
      </c>
    </row>
    <row r="2637" spans="1:8" ht="17.2" customHeight="1" x14ac:dyDescent="0.3">
      <c r="A2637" s="61" t="s">
        <v>55</v>
      </c>
      <c r="B2637" s="525" t="s">
        <v>56</v>
      </c>
      <c r="C2637" s="526"/>
      <c r="D2637" s="526"/>
      <c r="E2637" s="526"/>
      <c r="F2637" s="526"/>
      <c r="G2637" s="527"/>
      <c r="H2637" s="73"/>
    </row>
    <row r="2638" spans="1:8" ht="17.2" customHeight="1" x14ac:dyDescent="0.3">
      <c r="A2638" s="63"/>
      <c r="B2638" s="63" t="s">
        <v>34</v>
      </c>
      <c r="C2638" s="62" t="s">
        <v>43</v>
      </c>
      <c r="D2638" s="62" t="s">
        <v>57</v>
      </c>
      <c r="E2638" s="62" t="s">
        <v>58</v>
      </c>
      <c r="F2638" s="62"/>
      <c r="G2638" s="64" t="s">
        <v>59</v>
      </c>
      <c r="H2638" s="73"/>
    </row>
    <row r="2639" spans="1:8" ht="17.2" customHeight="1" x14ac:dyDescent="0.3">
      <c r="A2639" s="63"/>
      <c r="B2639" s="63" t="s">
        <v>82</v>
      </c>
      <c r="C2639" s="80" t="s">
        <v>83</v>
      </c>
      <c r="D2639" s="63">
        <v>1</v>
      </c>
      <c r="E2639" s="64">
        <v>50000</v>
      </c>
      <c r="F2639" s="64"/>
      <c r="G2639" s="64">
        <f>D2639*E2639</f>
        <v>50000</v>
      </c>
      <c r="H2639" s="73"/>
    </row>
    <row r="2640" spans="1:8" ht="17.2" customHeight="1" x14ac:dyDescent="0.3">
      <c r="A2640" s="63"/>
      <c r="B2640" s="63"/>
      <c r="C2640" s="81"/>
      <c r="D2640" s="63"/>
      <c r="E2640" s="64"/>
      <c r="F2640" s="64"/>
      <c r="G2640" s="64"/>
      <c r="H2640" s="73"/>
    </row>
    <row r="2641" spans="1:8" ht="17.2" customHeight="1" x14ac:dyDescent="0.3">
      <c r="A2641" s="63"/>
      <c r="B2641" s="63"/>
      <c r="C2641" s="63"/>
      <c r="D2641" s="63"/>
      <c r="E2641" s="64"/>
      <c r="F2641" s="64"/>
      <c r="G2641" s="64"/>
      <c r="H2641" s="73"/>
    </row>
    <row r="2642" spans="1:8" ht="17.2" customHeight="1" x14ac:dyDescent="0.3">
      <c r="A2642" s="70"/>
      <c r="E2642" s="71" t="s">
        <v>54</v>
      </c>
      <c r="F2642" s="71"/>
      <c r="G2642" s="71"/>
      <c r="H2642" s="119">
        <f>ROUND(SUM(G2639)+(G2640),0)</f>
        <v>50000</v>
      </c>
    </row>
    <row r="2643" spans="1:8" ht="17.2" customHeight="1" x14ac:dyDescent="0.3">
      <c r="A2643" s="59"/>
      <c r="E2643" s="71"/>
      <c r="F2643" s="71"/>
      <c r="G2643" s="71"/>
      <c r="H2643" s="73"/>
    </row>
    <row r="2644" spans="1:8" ht="17.2" customHeight="1" x14ac:dyDescent="0.3">
      <c r="A2644" s="59"/>
      <c r="D2644" s="82" t="s">
        <v>60</v>
      </c>
      <c r="E2644" s="83"/>
      <c r="F2644" s="83"/>
      <c r="G2644" s="83"/>
      <c r="H2644" s="72">
        <f>ROUND(SUM(H2621:H2643),2)</f>
        <v>625812.5</v>
      </c>
    </row>
    <row r="2645" spans="1:8" ht="17.2" customHeight="1" x14ac:dyDescent="0.3">
      <c r="A2645" s="59"/>
      <c r="E2645" s="71"/>
      <c r="F2645" s="71"/>
      <c r="G2645" s="71"/>
      <c r="H2645" s="73"/>
    </row>
    <row r="2646" spans="1:8" ht="17.2" customHeight="1" x14ac:dyDescent="0.3">
      <c r="A2646" s="61" t="s">
        <v>61</v>
      </c>
      <c r="B2646" s="525" t="s">
        <v>62</v>
      </c>
      <c r="C2646" s="526"/>
      <c r="D2646" s="526"/>
      <c r="E2646" s="526"/>
      <c r="F2646" s="526"/>
      <c r="G2646" s="527"/>
      <c r="H2646" s="73"/>
    </row>
    <row r="2647" spans="1:8" ht="17.2" customHeight="1" x14ac:dyDescent="0.3">
      <c r="A2647" s="62"/>
      <c r="B2647" s="518" t="s">
        <v>34</v>
      </c>
      <c r="C2647" s="519"/>
      <c r="D2647" s="518" t="s">
        <v>63</v>
      </c>
      <c r="E2647" s="519"/>
      <c r="F2647" s="528" t="s">
        <v>64</v>
      </c>
      <c r="G2647" s="529"/>
      <c r="H2647" s="73"/>
    </row>
    <row r="2648" spans="1:8" ht="17.2" customHeight="1" x14ac:dyDescent="0.3">
      <c r="A2648" s="63"/>
      <c r="B2648" s="518" t="s">
        <v>20</v>
      </c>
      <c r="C2648" s="519"/>
      <c r="D2648" s="520">
        <v>0.28000000000000003</v>
      </c>
      <c r="E2648" s="519"/>
      <c r="F2648" s="521">
        <f>+H2644*D2648</f>
        <v>175227.50000000003</v>
      </c>
      <c r="G2648" s="522"/>
      <c r="H2648" s="73"/>
    </row>
    <row r="2649" spans="1:8" ht="17.2" customHeight="1" x14ac:dyDescent="0.3">
      <c r="A2649" s="63"/>
      <c r="B2649" s="518" t="s">
        <v>21</v>
      </c>
      <c r="C2649" s="519"/>
      <c r="D2649" s="520">
        <v>0.01</v>
      </c>
      <c r="E2649" s="519"/>
      <c r="F2649" s="521">
        <f>+H2644*D2649</f>
        <v>6258.125</v>
      </c>
      <c r="G2649" s="522"/>
      <c r="H2649" s="73"/>
    </row>
    <row r="2650" spans="1:8" ht="17.2" customHeight="1" x14ac:dyDescent="0.3">
      <c r="A2650" s="63"/>
      <c r="B2650" s="518" t="s">
        <v>22</v>
      </c>
      <c r="C2650" s="519"/>
      <c r="D2650" s="520">
        <v>0.03</v>
      </c>
      <c r="E2650" s="519"/>
      <c r="F2650" s="521">
        <f>+H2644*D2650</f>
        <v>18774.375</v>
      </c>
      <c r="G2650" s="522"/>
      <c r="H2650" s="73"/>
    </row>
    <row r="2651" spans="1:8" ht="17.2" customHeight="1" x14ac:dyDescent="0.3">
      <c r="A2651" s="63"/>
      <c r="B2651" s="518" t="s">
        <v>188</v>
      </c>
      <c r="C2651" s="519"/>
      <c r="D2651" s="520">
        <v>0.19</v>
      </c>
      <c r="E2651" s="519"/>
      <c r="F2651" s="521">
        <f>D2651*F2650</f>
        <v>3567.1312499999999</v>
      </c>
      <c r="G2651" s="522"/>
      <c r="H2651" s="73"/>
    </row>
    <row r="2652" spans="1:8" ht="17.2" customHeight="1" x14ac:dyDescent="0.3">
      <c r="A2652" s="59"/>
      <c r="D2652" s="82" t="s">
        <v>65</v>
      </c>
      <c r="E2652" s="83"/>
      <c r="F2652" s="83"/>
      <c r="G2652" s="83"/>
      <c r="H2652" s="72">
        <f>SUM(F2648:G2651)</f>
        <v>203827.13125000003</v>
      </c>
    </row>
    <row r="2653" spans="1:8" ht="17.2" customHeight="1" x14ac:dyDescent="0.3">
      <c r="A2653" s="59"/>
      <c r="E2653" s="71"/>
      <c r="F2653" s="71"/>
      <c r="G2653" s="71"/>
      <c r="H2653" s="73"/>
    </row>
    <row r="2654" spans="1:8" ht="17.2" customHeight="1" x14ac:dyDescent="0.3">
      <c r="A2654" s="59"/>
      <c r="D2654" s="82" t="s">
        <v>66</v>
      </c>
      <c r="E2654" s="83"/>
      <c r="F2654" s="83"/>
      <c r="G2654" s="71"/>
      <c r="H2654" s="72">
        <f>H2644+H2652</f>
        <v>829639.63125000009</v>
      </c>
    </row>
    <row r="2655" spans="1:8" ht="17.2" customHeight="1" x14ac:dyDescent="0.3">
      <c r="A2655" s="59"/>
      <c r="D2655" s="82"/>
      <c r="E2655" s="83"/>
      <c r="F2655" s="83"/>
      <c r="G2655" s="71"/>
      <c r="H2655" s="73"/>
    </row>
    <row r="2656" spans="1:8" ht="17.2" customHeight="1" x14ac:dyDescent="0.3">
      <c r="A2656" s="59"/>
      <c r="E2656" s="83"/>
      <c r="F2656" s="83"/>
      <c r="G2656" s="71"/>
      <c r="H2656" s="73"/>
    </row>
    <row r="2657" spans="1:8" ht="17.2" customHeight="1" x14ac:dyDescent="0.3">
      <c r="A2657" s="84"/>
      <c r="B2657" s="85"/>
      <c r="E2657" s="46"/>
      <c r="F2657" s="47"/>
      <c r="G2657" s="48"/>
      <c r="H2657" s="73"/>
    </row>
    <row r="2658" spans="1:8" ht="17.2" customHeight="1" x14ac:dyDescent="0.3">
      <c r="A2658" s="86" t="s">
        <v>67</v>
      </c>
      <c r="B2658" s="50" t="s">
        <v>68</v>
      </c>
      <c r="E2658" s="49" t="s">
        <v>27</v>
      </c>
      <c r="F2658" s="50"/>
      <c r="G2658" s="50"/>
      <c r="H2658" s="87"/>
    </row>
    <row r="2659" spans="1:8" ht="17.2" customHeight="1" x14ac:dyDescent="0.3">
      <c r="A2659" s="88" t="s">
        <v>28</v>
      </c>
      <c r="B2659" s="50"/>
      <c r="E2659" s="50" t="str">
        <f ca="1">+$E$52</f>
        <v>SECRETARIO DE PLANEACION Y OBRAS PUBLICAS</v>
      </c>
      <c r="F2659" s="50"/>
      <c r="G2659" s="50"/>
      <c r="H2659" s="87"/>
    </row>
    <row r="2660" spans="1:8" ht="17.2" customHeight="1" x14ac:dyDescent="0.3">
      <c r="A2660" s="88"/>
      <c r="B2660" s="50"/>
      <c r="E2660" s="50" t="str">
        <f ca="1">+$E$53</f>
        <v>SAN MIGUEL - PUTUMAYO</v>
      </c>
      <c r="F2660" s="50"/>
      <c r="G2660" s="50"/>
      <c r="H2660" s="87"/>
    </row>
    <row r="2661" spans="1:8" ht="17.2" customHeight="1" x14ac:dyDescent="0.3">
      <c r="A2661" s="88"/>
      <c r="B2661" s="50"/>
      <c r="E2661" s="50"/>
      <c r="F2661" s="50"/>
      <c r="G2661" s="50"/>
      <c r="H2661" s="87"/>
    </row>
    <row r="2662" spans="1:8" ht="17.2" customHeight="1" x14ac:dyDescent="0.3">
      <c r="A2662" s="556"/>
      <c r="B2662" s="557"/>
      <c r="C2662" s="380" t="s">
        <v>2</v>
      </c>
      <c r="D2662" s="382" t="s">
        <v>3</v>
      </c>
      <c r="E2662" s="383"/>
      <c r="F2662" s="1">
        <v>103</v>
      </c>
      <c r="G2662" s="548"/>
      <c r="H2662" s="549"/>
    </row>
    <row r="2663" spans="1:8" ht="17.2" customHeight="1" x14ac:dyDescent="0.3">
      <c r="A2663" s="558"/>
      <c r="B2663" s="559"/>
      <c r="C2663" s="381"/>
      <c r="D2663" s="396" t="s">
        <v>4</v>
      </c>
      <c r="E2663" s="397"/>
      <c r="F2663" s="400">
        <v>51</v>
      </c>
      <c r="G2663" s="550"/>
      <c r="H2663" s="551"/>
    </row>
    <row r="2664" spans="1:8" ht="17.2" customHeight="1" x14ac:dyDescent="0.3">
      <c r="A2664" s="558"/>
      <c r="B2664" s="559"/>
      <c r="C2664" s="5" t="s">
        <v>5</v>
      </c>
      <c r="D2664" s="398"/>
      <c r="E2664" s="399"/>
      <c r="F2664" s="401"/>
      <c r="G2664" s="550"/>
      <c r="H2664" s="551"/>
    </row>
    <row r="2665" spans="1:8" ht="17.2" customHeight="1" x14ac:dyDescent="0.3">
      <c r="A2665" s="558"/>
      <c r="B2665" s="559"/>
      <c r="C2665" s="55" t="s">
        <v>6</v>
      </c>
      <c r="D2665" s="402" t="s">
        <v>7</v>
      </c>
      <c r="E2665" s="403"/>
      <c r="F2665" s="7">
        <v>1</v>
      </c>
      <c r="G2665" s="550"/>
      <c r="H2665" s="551"/>
    </row>
    <row r="2666" spans="1:8" ht="18.2" customHeight="1" x14ac:dyDescent="0.3">
      <c r="A2666" s="558"/>
      <c r="B2666" s="559"/>
      <c r="C2666" s="530" t="s">
        <v>8</v>
      </c>
      <c r="D2666" s="532" t="s">
        <v>9</v>
      </c>
      <c r="E2666" s="533"/>
      <c r="F2666" s="5" t="s">
        <v>10</v>
      </c>
      <c r="G2666" s="550"/>
      <c r="H2666" s="551"/>
    </row>
    <row r="2667" spans="1:8" ht="18.2" customHeight="1" x14ac:dyDescent="0.3">
      <c r="A2667" s="560"/>
      <c r="B2667" s="561"/>
      <c r="C2667" s="531"/>
      <c r="D2667" s="534"/>
      <c r="E2667" s="535"/>
      <c r="F2667" s="8">
        <f>$F$6</f>
        <v>45402</v>
      </c>
      <c r="G2667" s="552"/>
      <c r="H2667" s="553"/>
    </row>
    <row r="2668" spans="1:8" ht="17.2" customHeight="1" thickBot="1" x14ac:dyDescent="0.35">
      <c r="A2668" s="536"/>
      <c r="B2668" s="537"/>
      <c r="C2668" s="537"/>
      <c r="D2668" s="537"/>
      <c r="E2668" s="537"/>
      <c r="F2668" s="537"/>
      <c r="G2668" s="537"/>
      <c r="H2668" s="538"/>
    </row>
    <row r="2669" spans="1:8" ht="17.2" customHeight="1" thickBot="1" x14ac:dyDescent="0.35">
      <c r="A2669" s="92">
        <v>7.5</v>
      </c>
      <c r="B2669" s="539" t="str">
        <f>VLOOKUP(A2669,PRESUPUESTO!$A$14:$G$78,2,)</f>
        <v>Ventana en aluminio tipo persiana (1.20x0.50)</v>
      </c>
      <c r="C2669" s="540"/>
      <c r="D2669" s="540"/>
      <c r="E2669" s="540"/>
      <c r="F2669" s="541"/>
      <c r="G2669" s="57" t="s">
        <v>31</v>
      </c>
      <c r="H2669" s="58" t="str">
        <f>VLOOKUP(A2669,PRESUPUESTO!$A$14:$G$78,4,)</f>
        <v>UND</v>
      </c>
    </row>
    <row r="2670" spans="1:8" ht="17.2" customHeight="1" x14ac:dyDescent="0.3">
      <c r="A2670" s="59"/>
      <c r="H2670" s="60"/>
    </row>
    <row r="2671" spans="1:8" ht="26.85" customHeight="1" x14ac:dyDescent="0.3">
      <c r="A2671" s="61" t="s">
        <v>32</v>
      </c>
      <c r="B2671" s="525" t="s">
        <v>33</v>
      </c>
      <c r="C2671" s="526"/>
      <c r="D2671" s="526"/>
      <c r="E2671" s="526"/>
      <c r="F2671" s="526"/>
      <c r="G2671" s="527"/>
      <c r="H2671" s="60"/>
    </row>
    <row r="2672" spans="1:8" ht="17.2" customHeight="1" x14ac:dyDescent="0.3">
      <c r="A2672" s="62"/>
      <c r="B2672" s="518" t="s">
        <v>34</v>
      </c>
      <c r="C2672" s="519"/>
      <c r="D2672" s="62" t="s">
        <v>35</v>
      </c>
      <c r="E2672" s="62" t="s">
        <v>69</v>
      </c>
      <c r="F2672" s="62" t="s">
        <v>70</v>
      </c>
      <c r="G2672" s="62" t="s">
        <v>38</v>
      </c>
      <c r="H2672" s="60"/>
    </row>
    <row r="2673" spans="1:8" ht="17.2" customHeight="1" x14ac:dyDescent="0.3">
      <c r="A2673" s="63"/>
      <c r="B2673" s="542" t="s">
        <v>39</v>
      </c>
      <c r="C2673" s="543"/>
      <c r="D2673" s="63"/>
      <c r="E2673" s="64"/>
      <c r="F2673" s="64">
        <v>0.1</v>
      </c>
      <c r="G2673" s="65">
        <f>ROUND(H2689*F2673,2)</f>
        <v>14437.5</v>
      </c>
      <c r="H2673" s="66"/>
    </row>
    <row r="2674" spans="1:8" ht="17.2" customHeight="1" x14ac:dyDescent="0.3">
      <c r="A2674" s="63"/>
      <c r="B2674" s="542"/>
      <c r="C2674" s="543"/>
      <c r="D2674" s="62"/>
      <c r="E2674" s="68"/>
      <c r="F2674" s="64"/>
      <c r="G2674" s="69"/>
      <c r="H2674" s="66"/>
    </row>
    <row r="2675" spans="1:8" ht="28.15" customHeight="1" x14ac:dyDescent="0.3">
      <c r="A2675" s="70"/>
      <c r="E2675" s="71" t="s">
        <v>40</v>
      </c>
      <c r="F2675" s="71"/>
      <c r="G2675" s="71"/>
      <c r="H2675" s="72">
        <f>ROUND(SUM(G2673:G2674),2)</f>
        <v>14437.5</v>
      </c>
    </row>
    <row r="2676" spans="1:8" ht="17.2" customHeight="1" x14ac:dyDescent="0.3">
      <c r="A2676" s="61" t="s">
        <v>41</v>
      </c>
      <c r="B2676" s="525" t="s">
        <v>42</v>
      </c>
      <c r="C2676" s="526"/>
      <c r="D2676" s="526"/>
      <c r="E2676" s="526"/>
      <c r="F2676" s="526"/>
      <c r="G2676" s="527"/>
      <c r="H2676" s="73"/>
    </row>
    <row r="2677" spans="1:8" ht="17.2" customHeight="1" x14ac:dyDescent="0.3">
      <c r="A2677" s="62"/>
      <c r="B2677" s="518" t="s">
        <v>34</v>
      </c>
      <c r="C2677" s="519"/>
      <c r="D2677" s="63" t="s">
        <v>43</v>
      </c>
      <c r="E2677" s="74" t="s">
        <v>44</v>
      </c>
      <c r="F2677" s="74" t="s">
        <v>45</v>
      </c>
      <c r="G2677" s="74" t="s">
        <v>38</v>
      </c>
      <c r="H2677" s="73"/>
    </row>
    <row r="2678" spans="1:8" ht="17.2" customHeight="1" x14ac:dyDescent="0.3">
      <c r="A2678" s="63"/>
      <c r="B2678" s="544" t="s">
        <v>343</v>
      </c>
      <c r="C2678" s="545"/>
      <c r="D2678" s="270" t="s">
        <v>218</v>
      </c>
      <c r="E2678" s="94">
        <v>1</v>
      </c>
      <c r="F2678" s="95">
        <v>150000</v>
      </c>
      <c r="G2678" s="120">
        <f>ROUND(E2678*F2678,2)</f>
        <v>150000</v>
      </c>
      <c r="H2678" s="73"/>
    </row>
    <row r="2679" spans="1:8" ht="17.2" customHeight="1" x14ac:dyDescent="0.3">
      <c r="A2679" s="63"/>
      <c r="B2679" s="546" t="s">
        <v>342</v>
      </c>
      <c r="C2679" s="547"/>
      <c r="D2679" s="270" t="s">
        <v>218</v>
      </c>
      <c r="E2679" s="94">
        <v>1</v>
      </c>
      <c r="F2679" s="95">
        <v>12000</v>
      </c>
      <c r="G2679" s="67">
        <f t="shared" ref="G2679:G2680" si="37">ROUND(E2679*F2679,2)</f>
        <v>12000</v>
      </c>
      <c r="H2679" s="73"/>
    </row>
    <row r="2680" spans="1:8" ht="17.2" customHeight="1" x14ac:dyDescent="0.3">
      <c r="A2680" s="63"/>
      <c r="B2680" s="523" t="s">
        <v>433</v>
      </c>
      <c r="C2680" s="524"/>
      <c r="D2680" s="93" t="s">
        <v>218</v>
      </c>
      <c r="E2680" s="94">
        <v>0.2</v>
      </c>
      <c r="F2680" s="95">
        <v>30000</v>
      </c>
      <c r="G2680" s="67">
        <f t="shared" si="37"/>
        <v>6000</v>
      </c>
      <c r="H2680" s="73"/>
    </row>
    <row r="2681" spans="1:8" ht="17.2" customHeight="1" x14ac:dyDescent="0.3">
      <c r="A2681" s="63"/>
      <c r="B2681" s="523"/>
      <c r="C2681" s="524"/>
      <c r="D2681" s="93"/>
      <c r="E2681" s="94"/>
      <c r="F2681" s="95"/>
      <c r="G2681" s="67"/>
      <c r="H2681" s="73"/>
    </row>
    <row r="2682" spans="1:8" ht="17.2" customHeight="1" x14ac:dyDescent="0.3">
      <c r="A2682" s="63"/>
      <c r="B2682" s="523"/>
      <c r="C2682" s="524"/>
      <c r="D2682" s="93"/>
      <c r="E2682" s="94"/>
      <c r="F2682" s="95"/>
      <c r="G2682" s="67"/>
      <c r="H2682" s="73"/>
    </row>
    <row r="2683" spans="1:8" ht="17.2" customHeight="1" x14ac:dyDescent="0.3">
      <c r="A2683" s="70" t="s">
        <v>46</v>
      </c>
      <c r="E2683" s="71" t="s">
        <v>47</v>
      </c>
      <c r="F2683" s="71"/>
      <c r="G2683" s="71"/>
      <c r="H2683" s="76">
        <f>ROUND(SUM(G2678:G2682),2)</f>
        <v>168000</v>
      </c>
    </row>
    <row r="2684" spans="1:8" ht="13.75" customHeight="1" x14ac:dyDescent="0.3">
      <c r="A2684" s="61" t="s">
        <v>48</v>
      </c>
      <c r="B2684" s="525" t="s">
        <v>49</v>
      </c>
      <c r="C2684" s="526"/>
      <c r="D2684" s="526"/>
      <c r="E2684" s="526"/>
      <c r="F2684" s="526"/>
      <c r="G2684" s="527"/>
      <c r="H2684" s="73"/>
    </row>
    <row r="2685" spans="1:8" ht="17.2" customHeight="1" x14ac:dyDescent="0.3">
      <c r="A2685" s="62" t="s">
        <v>50</v>
      </c>
      <c r="B2685" s="62" t="s">
        <v>34</v>
      </c>
      <c r="C2685" s="62" t="s">
        <v>51</v>
      </c>
      <c r="D2685" s="62" t="s">
        <v>52</v>
      </c>
      <c r="E2685" s="74" t="s">
        <v>53</v>
      </c>
      <c r="F2685" s="64" t="s">
        <v>260</v>
      </c>
      <c r="G2685" s="64" t="s">
        <v>38</v>
      </c>
      <c r="H2685" s="73"/>
    </row>
    <row r="2686" spans="1:8" ht="17.2" customHeight="1" x14ac:dyDescent="0.3">
      <c r="A2686" s="62">
        <v>1</v>
      </c>
      <c r="B2686" s="63" t="s">
        <v>79</v>
      </c>
      <c r="C2686" s="77">
        <v>120000</v>
      </c>
      <c r="D2686" s="78">
        <v>0.75</v>
      </c>
      <c r="E2686" s="79">
        <f>+(A2686*C2686)+(A2686*C2686*D2686)</f>
        <v>210000</v>
      </c>
      <c r="F2686" s="75">
        <v>4</v>
      </c>
      <c r="G2686" s="65">
        <f>ROUND(E2686/(F2686),2)</f>
        <v>52500</v>
      </c>
      <c r="H2686" s="73"/>
    </row>
    <row r="2687" spans="1:8" ht="17.2" customHeight="1" x14ac:dyDescent="0.3">
      <c r="A2687" s="62">
        <v>3</v>
      </c>
      <c r="B2687" s="63" t="s">
        <v>80</v>
      </c>
      <c r="C2687" s="77">
        <v>70000</v>
      </c>
      <c r="D2687" s="78">
        <v>0.75</v>
      </c>
      <c r="E2687" s="79">
        <f>+(A2687*C2687)+(A2687*C2687*D2687)</f>
        <v>367500</v>
      </c>
      <c r="F2687" s="75">
        <v>4</v>
      </c>
      <c r="G2687" s="65">
        <f>ROUND(E2687/(F2687),2)</f>
        <v>91875</v>
      </c>
      <c r="H2687" s="73"/>
    </row>
    <row r="2688" spans="1:8" ht="17.2" customHeight="1" x14ac:dyDescent="0.3">
      <c r="A2688" s="63"/>
      <c r="B2688" s="63"/>
      <c r="C2688" s="63"/>
      <c r="D2688" s="63"/>
      <c r="E2688" s="64"/>
      <c r="F2688" s="64"/>
      <c r="G2688" s="64"/>
      <c r="H2688" s="73"/>
    </row>
    <row r="2689" spans="1:8" ht="17.2" customHeight="1" x14ac:dyDescent="0.3">
      <c r="A2689" s="70"/>
      <c r="E2689" s="71" t="s">
        <v>54</v>
      </c>
      <c r="F2689" s="71"/>
      <c r="G2689" s="71"/>
      <c r="H2689" s="72">
        <f>ROUND(SUM(G2686)+(G2687),2)</f>
        <v>144375</v>
      </c>
    </row>
    <row r="2690" spans="1:8" ht="17.2" customHeight="1" x14ac:dyDescent="0.3">
      <c r="A2690" s="61" t="s">
        <v>55</v>
      </c>
      <c r="B2690" s="525" t="s">
        <v>56</v>
      </c>
      <c r="C2690" s="526"/>
      <c r="D2690" s="526"/>
      <c r="E2690" s="526"/>
      <c r="F2690" s="526"/>
      <c r="G2690" s="527"/>
      <c r="H2690" s="73"/>
    </row>
    <row r="2691" spans="1:8" ht="17.2" customHeight="1" x14ac:dyDescent="0.3">
      <c r="A2691" s="63"/>
      <c r="B2691" s="63" t="s">
        <v>34</v>
      </c>
      <c r="C2691" s="62" t="s">
        <v>43</v>
      </c>
      <c r="D2691" s="62" t="s">
        <v>57</v>
      </c>
      <c r="E2691" s="62" t="s">
        <v>58</v>
      </c>
      <c r="F2691" s="62"/>
      <c r="G2691" s="64" t="s">
        <v>59</v>
      </c>
      <c r="H2691" s="73"/>
    </row>
    <row r="2692" spans="1:8" ht="17.2" customHeight="1" x14ac:dyDescent="0.3">
      <c r="A2692" s="63"/>
      <c r="B2692" s="63" t="s">
        <v>82</v>
      </c>
      <c r="C2692" s="80" t="s">
        <v>83</v>
      </c>
      <c r="D2692" s="63">
        <v>1</v>
      </c>
      <c r="E2692" s="64">
        <v>50000</v>
      </c>
      <c r="F2692" s="64"/>
      <c r="G2692" s="64">
        <f>D2692*E2692</f>
        <v>50000</v>
      </c>
      <c r="H2692" s="73"/>
    </row>
    <row r="2693" spans="1:8" ht="17.2" customHeight="1" x14ac:dyDescent="0.3">
      <c r="A2693" s="63"/>
      <c r="B2693" s="63"/>
      <c r="C2693" s="81"/>
      <c r="D2693" s="63"/>
      <c r="E2693" s="64"/>
      <c r="F2693" s="64"/>
      <c r="G2693" s="64"/>
      <c r="H2693" s="73"/>
    </row>
    <row r="2694" spans="1:8" ht="17.2" customHeight="1" x14ac:dyDescent="0.3">
      <c r="A2694" s="63"/>
      <c r="B2694" s="63"/>
      <c r="C2694" s="63"/>
      <c r="D2694" s="63"/>
      <c r="E2694" s="64"/>
      <c r="F2694" s="64"/>
      <c r="G2694" s="64"/>
      <c r="H2694" s="73"/>
    </row>
    <row r="2695" spans="1:8" ht="17.2" customHeight="1" x14ac:dyDescent="0.3">
      <c r="A2695" s="70"/>
      <c r="E2695" s="71" t="s">
        <v>54</v>
      </c>
      <c r="F2695" s="71"/>
      <c r="G2695" s="71"/>
      <c r="H2695" s="119">
        <f>ROUND(SUM(G2692)+(G2693),0)</f>
        <v>50000</v>
      </c>
    </row>
    <row r="2696" spans="1:8" ht="17.2" customHeight="1" x14ac:dyDescent="0.3">
      <c r="A2696" s="59"/>
      <c r="E2696" s="71"/>
      <c r="F2696" s="71"/>
      <c r="G2696" s="71"/>
      <c r="H2696" s="73"/>
    </row>
    <row r="2697" spans="1:8" ht="17.2" customHeight="1" x14ac:dyDescent="0.3">
      <c r="A2697" s="59"/>
      <c r="D2697" s="82" t="s">
        <v>60</v>
      </c>
      <c r="E2697" s="83"/>
      <c r="F2697" s="83"/>
      <c r="G2697" s="83"/>
      <c r="H2697" s="72">
        <f>ROUND(SUM(H2675:H2696),2)</f>
        <v>376812.5</v>
      </c>
    </row>
    <row r="2698" spans="1:8" ht="17.2" customHeight="1" x14ac:dyDescent="0.3">
      <c r="A2698" s="59"/>
      <c r="E2698" s="71"/>
      <c r="F2698" s="71"/>
      <c r="G2698" s="71"/>
      <c r="H2698" s="73"/>
    </row>
    <row r="2699" spans="1:8" ht="17.2" customHeight="1" x14ac:dyDescent="0.3">
      <c r="A2699" s="61" t="s">
        <v>61</v>
      </c>
      <c r="B2699" s="525" t="s">
        <v>62</v>
      </c>
      <c r="C2699" s="526"/>
      <c r="D2699" s="526"/>
      <c r="E2699" s="526"/>
      <c r="F2699" s="526"/>
      <c r="G2699" s="527"/>
      <c r="H2699" s="73"/>
    </row>
    <row r="2700" spans="1:8" ht="17.2" customHeight="1" x14ac:dyDescent="0.3">
      <c r="A2700" s="62"/>
      <c r="B2700" s="518" t="s">
        <v>34</v>
      </c>
      <c r="C2700" s="519"/>
      <c r="D2700" s="518" t="s">
        <v>63</v>
      </c>
      <c r="E2700" s="519"/>
      <c r="F2700" s="528" t="s">
        <v>64</v>
      </c>
      <c r="G2700" s="529"/>
      <c r="H2700" s="73"/>
    </row>
    <row r="2701" spans="1:8" ht="17.2" customHeight="1" x14ac:dyDescent="0.3">
      <c r="A2701" s="63"/>
      <c r="B2701" s="518" t="s">
        <v>20</v>
      </c>
      <c r="C2701" s="519"/>
      <c r="D2701" s="520">
        <v>0.28000000000000003</v>
      </c>
      <c r="E2701" s="519"/>
      <c r="F2701" s="521">
        <f>+H2697*D2701</f>
        <v>105507.50000000001</v>
      </c>
      <c r="G2701" s="522"/>
      <c r="H2701" s="73"/>
    </row>
    <row r="2702" spans="1:8" ht="17.2" customHeight="1" x14ac:dyDescent="0.3">
      <c r="A2702" s="63"/>
      <c r="B2702" s="518" t="s">
        <v>21</v>
      </c>
      <c r="C2702" s="519"/>
      <c r="D2702" s="520">
        <v>0.01</v>
      </c>
      <c r="E2702" s="519"/>
      <c r="F2702" s="521">
        <f>+H2697*D2702</f>
        <v>3768.125</v>
      </c>
      <c r="G2702" s="522"/>
      <c r="H2702" s="73"/>
    </row>
    <row r="2703" spans="1:8" ht="17.2" customHeight="1" x14ac:dyDescent="0.3">
      <c r="A2703" s="63"/>
      <c r="B2703" s="518" t="s">
        <v>22</v>
      </c>
      <c r="C2703" s="519"/>
      <c r="D2703" s="520">
        <v>0.03</v>
      </c>
      <c r="E2703" s="519"/>
      <c r="F2703" s="521">
        <f>+H2697*D2703</f>
        <v>11304.375</v>
      </c>
      <c r="G2703" s="522"/>
      <c r="H2703" s="73"/>
    </row>
    <row r="2704" spans="1:8" ht="17.2" customHeight="1" x14ac:dyDescent="0.3">
      <c r="A2704" s="63"/>
      <c r="B2704" s="518" t="s">
        <v>188</v>
      </c>
      <c r="C2704" s="519"/>
      <c r="D2704" s="520">
        <v>0.19</v>
      </c>
      <c r="E2704" s="519"/>
      <c r="F2704" s="521">
        <f>D2704*F2703</f>
        <v>2147.8312500000002</v>
      </c>
      <c r="G2704" s="522"/>
      <c r="H2704" s="73"/>
    </row>
    <row r="2705" spans="1:8" ht="17.2" customHeight="1" x14ac:dyDescent="0.3">
      <c r="A2705" s="59"/>
      <c r="D2705" s="82" t="s">
        <v>65</v>
      </c>
      <c r="E2705" s="83"/>
      <c r="F2705" s="83"/>
      <c r="G2705" s="83"/>
      <c r="H2705" s="72">
        <f>SUM(F2701:G2704)</f>
        <v>122727.83125000002</v>
      </c>
    </row>
    <row r="2706" spans="1:8" ht="17.2" customHeight="1" x14ac:dyDescent="0.3">
      <c r="A2706" s="59"/>
      <c r="E2706" s="71"/>
      <c r="F2706" s="71"/>
      <c r="G2706" s="71"/>
      <c r="H2706" s="73"/>
    </row>
    <row r="2707" spans="1:8" ht="17.2" customHeight="1" x14ac:dyDescent="0.3">
      <c r="A2707" s="59"/>
      <c r="D2707" s="82" t="s">
        <v>66</v>
      </c>
      <c r="E2707" s="83"/>
      <c r="F2707" s="83"/>
      <c r="G2707" s="71"/>
      <c r="H2707" s="72">
        <f>H2697+H2705</f>
        <v>499540.33125000005</v>
      </c>
    </row>
    <row r="2708" spans="1:8" ht="17.2" customHeight="1" x14ac:dyDescent="0.3">
      <c r="A2708" s="59"/>
      <c r="D2708" s="82"/>
      <c r="E2708" s="83"/>
      <c r="F2708" s="83"/>
      <c r="G2708" s="71"/>
      <c r="H2708" s="73"/>
    </row>
    <row r="2709" spans="1:8" ht="17.2" customHeight="1" x14ac:dyDescent="0.3">
      <c r="A2709" s="59"/>
      <c r="E2709" s="83"/>
      <c r="F2709" s="83"/>
      <c r="G2709" s="71"/>
      <c r="H2709" s="73"/>
    </row>
    <row r="2710" spans="1:8" ht="17.2" customHeight="1" x14ac:dyDescent="0.3">
      <c r="A2710" s="84"/>
      <c r="B2710" s="85"/>
      <c r="E2710" s="46"/>
      <c r="F2710" s="47"/>
      <c r="G2710" s="48"/>
      <c r="H2710" s="73"/>
    </row>
    <row r="2711" spans="1:8" ht="17.2" customHeight="1" x14ac:dyDescent="0.3">
      <c r="A2711" s="86" t="s">
        <v>67</v>
      </c>
      <c r="B2711" s="50" t="s">
        <v>68</v>
      </c>
      <c r="E2711" s="49" t="s">
        <v>27</v>
      </c>
      <c r="F2711" s="50"/>
      <c r="G2711" s="50"/>
      <c r="H2711" s="87"/>
    </row>
    <row r="2712" spans="1:8" ht="17.2" customHeight="1" x14ac:dyDescent="0.3">
      <c r="A2712" s="88" t="s">
        <v>28</v>
      </c>
      <c r="B2712" s="50"/>
      <c r="E2712" s="50" t="str">
        <f ca="1">+$E$52</f>
        <v>SECRETARIO DE PLANEACION Y OBRAS PUBLICAS</v>
      </c>
      <c r="F2712" s="50"/>
      <c r="G2712" s="50"/>
      <c r="H2712" s="87"/>
    </row>
    <row r="2713" spans="1:8" ht="17.2" customHeight="1" x14ac:dyDescent="0.3">
      <c r="A2713" s="88"/>
      <c r="B2713" s="50"/>
      <c r="E2713" s="50" t="str">
        <f ca="1">+$E$53</f>
        <v>SAN MIGUEL - PUTUMAYO</v>
      </c>
      <c r="F2713" s="50"/>
      <c r="G2713" s="50"/>
      <c r="H2713" s="87"/>
    </row>
    <row r="2714" spans="1:8" ht="17.2" customHeight="1" x14ac:dyDescent="0.3">
      <c r="A2714" s="88"/>
      <c r="B2714" s="50"/>
      <c r="E2714" s="50"/>
      <c r="F2714" s="50"/>
      <c r="G2714" s="50"/>
      <c r="H2714" s="87"/>
    </row>
    <row r="2715" spans="1:8" ht="17.2" customHeight="1" x14ac:dyDescent="0.3">
      <c r="A2715" s="556"/>
      <c r="B2715" s="557"/>
      <c r="C2715" s="380" t="s">
        <v>2</v>
      </c>
      <c r="D2715" s="382" t="s">
        <v>3</v>
      </c>
      <c r="E2715" s="383"/>
      <c r="F2715" s="1">
        <v>103</v>
      </c>
      <c r="G2715" s="548"/>
      <c r="H2715" s="549"/>
    </row>
    <row r="2716" spans="1:8" ht="17.2" customHeight="1" x14ac:dyDescent="0.3">
      <c r="A2716" s="558"/>
      <c r="B2716" s="559"/>
      <c r="C2716" s="381"/>
      <c r="D2716" s="396" t="s">
        <v>4</v>
      </c>
      <c r="E2716" s="397"/>
      <c r="F2716" s="400">
        <v>51</v>
      </c>
      <c r="G2716" s="550"/>
      <c r="H2716" s="551"/>
    </row>
    <row r="2717" spans="1:8" ht="17.2" customHeight="1" x14ac:dyDescent="0.3">
      <c r="A2717" s="558"/>
      <c r="B2717" s="559"/>
      <c r="C2717" s="5" t="s">
        <v>5</v>
      </c>
      <c r="D2717" s="398"/>
      <c r="E2717" s="399"/>
      <c r="F2717" s="401"/>
      <c r="G2717" s="550"/>
      <c r="H2717" s="551"/>
    </row>
    <row r="2718" spans="1:8" ht="17.2" customHeight="1" x14ac:dyDescent="0.3">
      <c r="A2718" s="558"/>
      <c r="B2718" s="559"/>
      <c r="C2718" s="55" t="s">
        <v>6</v>
      </c>
      <c r="D2718" s="402" t="s">
        <v>7</v>
      </c>
      <c r="E2718" s="403"/>
      <c r="F2718" s="7">
        <v>1</v>
      </c>
      <c r="G2718" s="550"/>
      <c r="H2718" s="551"/>
    </row>
    <row r="2719" spans="1:8" ht="17.2" customHeight="1" x14ac:dyDescent="0.3">
      <c r="A2719" s="558"/>
      <c r="B2719" s="559"/>
      <c r="C2719" s="530" t="s">
        <v>8</v>
      </c>
      <c r="D2719" s="532" t="s">
        <v>9</v>
      </c>
      <c r="E2719" s="533"/>
      <c r="F2719" s="5" t="s">
        <v>10</v>
      </c>
      <c r="G2719" s="550"/>
      <c r="H2719" s="551"/>
    </row>
    <row r="2720" spans="1:8" ht="17.2" customHeight="1" x14ac:dyDescent="0.3">
      <c r="A2720" s="560"/>
      <c r="B2720" s="561"/>
      <c r="C2720" s="531"/>
      <c r="D2720" s="534"/>
      <c r="E2720" s="535"/>
      <c r="F2720" s="8">
        <f>$F$6</f>
        <v>45402</v>
      </c>
      <c r="G2720" s="552"/>
      <c r="H2720" s="553"/>
    </row>
    <row r="2721" spans="1:8" ht="18.2" customHeight="1" thickBot="1" x14ac:dyDescent="0.35">
      <c r="A2721" s="536"/>
      <c r="B2721" s="537"/>
      <c r="C2721" s="537"/>
      <c r="D2721" s="537"/>
      <c r="E2721" s="537"/>
      <c r="F2721" s="537"/>
      <c r="G2721" s="537"/>
      <c r="H2721" s="538"/>
    </row>
    <row r="2722" spans="1:8" ht="17.2" customHeight="1" thickBot="1" x14ac:dyDescent="0.35">
      <c r="A2722" s="92">
        <v>7.6</v>
      </c>
      <c r="B2722" s="539" t="str">
        <f>VLOOKUP(A2722,PRESUPUESTO!$A$14:$G$78,2,)</f>
        <v>Ventana en lamina Cold rolled (2.00x1.90) Corrediza incluye vidrio</v>
      </c>
      <c r="C2722" s="540"/>
      <c r="D2722" s="540"/>
      <c r="E2722" s="540"/>
      <c r="F2722" s="541"/>
      <c r="G2722" s="57" t="s">
        <v>31</v>
      </c>
      <c r="H2722" s="58" t="str">
        <f>VLOOKUP(A2722,PRESUPUESTO!$A$14:$G$78,4,)</f>
        <v>UND</v>
      </c>
    </row>
    <row r="2723" spans="1:8" ht="17.2" customHeight="1" x14ac:dyDescent="0.3">
      <c r="A2723" s="59"/>
      <c r="H2723" s="60"/>
    </row>
    <row r="2724" spans="1:8" ht="17.2" customHeight="1" x14ac:dyDescent="0.3">
      <c r="A2724" s="61" t="s">
        <v>32</v>
      </c>
      <c r="B2724" s="525" t="s">
        <v>33</v>
      </c>
      <c r="C2724" s="526"/>
      <c r="D2724" s="526"/>
      <c r="E2724" s="526"/>
      <c r="F2724" s="526"/>
      <c r="G2724" s="527"/>
      <c r="H2724" s="60"/>
    </row>
    <row r="2725" spans="1:8" ht="26.85" customHeight="1" x14ac:dyDescent="0.3">
      <c r="A2725" s="62"/>
      <c r="B2725" s="518" t="s">
        <v>34</v>
      </c>
      <c r="C2725" s="519"/>
      <c r="D2725" s="62" t="s">
        <v>35</v>
      </c>
      <c r="E2725" s="62" t="s">
        <v>69</v>
      </c>
      <c r="F2725" s="62" t="s">
        <v>70</v>
      </c>
      <c r="G2725" s="62" t="s">
        <v>38</v>
      </c>
      <c r="H2725" s="60"/>
    </row>
    <row r="2726" spans="1:8" ht="17.2" customHeight="1" x14ac:dyDescent="0.3">
      <c r="A2726" s="63"/>
      <c r="B2726" s="542" t="s">
        <v>39</v>
      </c>
      <c r="C2726" s="543"/>
      <c r="D2726" s="63"/>
      <c r="E2726" s="64"/>
      <c r="F2726" s="64">
        <v>0.1</v>
      </c>
      <c r="G2726" s="65">
        <f>ROUND(H2744*F2726,2)</f>
        <v>57750</v>
      </c>
      <c r="H2726" s="66"/>
    </row>
    <row r="2727" spans="1:8" ht="17.2" customHeight="1" x14ac:dyDescent="0.3">
      <c r="A2727" s="63"/>
      <c r="B2727" s="542"/>
      <c r="C2727" s="543"/>
      <c r="D2727" s="62"/>
      <c r="E2727" s="68"/>
      <c r="F2727" s="64"/>
      <c r="G2727" s="69"/>
      <c r="H2727" s="66"/>
    </row>
    <row r="2728" spans="1:8" ht="17.2" customHeight="1" x14ac:dyDescent="0.3">
      <c r="A2728" s="70"/>
      <c r="E2728" s="71" t="s">
        <v>40</v>
      </c>
      <c r="F2728" s="71"/>
      <c r="G2728" s="71"/>
      <c r="H2728" s="72">
        <f>ROUND(SUM(G2726:G2727),2)</f>
        <v>57750</v>
      </c>
    </row>
    <row r="2729" spans="1:8" ht="28.15" customHeight="1" x14ac:dyDescent="0.3">
      <c r="A2729" s="61" t="s">
        <v>41</v>
      </c>
      <c r="B2729" s="525" t="s">
        <v>42</v>
      </c>
      <c r="C2729" s="526"/>
      <c r="D2729" s="526"/>
      <c r="E2729" s="526"/>
      <c r="F2729" s="526"/>
      <c r="G2729" s="527"/>
      <c r="H2729" s="73"/>
    </row>
    <row r="2730" spans="1:8" ht="17.2" customHeight="1" x14ac:dyDescent="0.3">
      <c r="A2730" s="62"/>
      <c r="B2730" s="518" t="s">
        <v>34</v>
      </c>
      <c r="C2730" s="519"/>
      <c r="D2730" s="63" t="s">
        <v>43</v>
      </c>
      <c r="E2730" s="74" t="s">
        <v>44</v>
      </c>
      <c r="F2730" s="74" t="s">
        <v>45</v>
      </c>
      <c r="G2730" s="74" t="s">
        <v>38</v>
      </c>
      <c r="H2730" s="73"/>
    </row>
    <row r="2731" spans="1:8" ht="17.2" customHeight="1" x14ac:dyDescent="0.3">
      <c r="A2731" s="63"/>
      <c r="B2731" s="546" t="s">
        <v>334</v>
      </c>
      <c r="C2731" s="547"/>
      <c r="D2731" s="270" t="s">
        <v>218</v>
      </c>
      <c r="E2731" s="94">
        <v>1</v>
      </c>
      <c r="F2731" s="95">
        <v>550000</v>
      </c>
      <c r="G2731" s="120">
        <f>ROUND(E2731*F2731,2)</f>
        <v>550000</v>
      </c>
      <c r="H2731" s="73"/>
    </row>
    <row r="2732" spans="1:8" ht="17.2" customHeight="1" x14ac:dyDescent="0.3">
      <c r="A2732" s="63"/>
      <c r="B2732" s="546" t="s">
        <v>346</v>
      </c>
      <c r="C2732" s="547"/>
      <c r="D2732" s="270" t="s">
        <v>178</v>
      </c>
      <c r="E2732" s="94">
        <v>2.52</v>
      </c>
      <c r="F2732" s="95">
        <v>95000</v>
      </c>
      <c r="G2732" s="67">
        <f t="shared" ref="G2732:G2736" si="38">ROUND(E2732*F2732,2)</f>
        <v>239400</v>
      </c>
      <c r="H2732" s="73"/>
    </row>
    <row r="2733" spans="1:8" ht="17.2" customHeight="1" x14ac:dyDescent="0.3">
      <c r="A2733" s="63"/>
      <c r="B2733" s="546" t="s">
        <v>347</v>
      </c>
      <c r="C2733" s="547"/>
      <c r="D2733" s="270" t="s">
        <v>218</v>
      </c>
      <c r="E2733" s="94">
        <v>1</v>
      </c>
      <c r="F2733" s="95">
        <v>90000</v>
      </c>
      <c r="G2733" s="67">
        <f t="shared" si="38"/>
        <v>90000</v>
      </c>
      <c r="H2733" s="73"/>
    </row>
    <row r="2734" spans="1:8" ht="17.2" customHeight="1" x14ac:dyDescent="0.3">
      <c r="A2734" s="63"/>
      <c r="B2734" s="523" t="s">
        <v>348</v>
      </c>
      <c r="C2734" s="524"/>
      <c r="D2734" s="93" t="s">
        <v>218</v>
      </c>
      <c r="E2734" s="94">
        <v>1</v>
      </c>
      <c r="F2734" s="95">
        <v>45000</v>
      </c>
      <c r="G2734" s="67">
        <f t="shared" si="38"/>
        <v>45000</v>
      </c>
      <c r="H2734" s="73"/>
    </row>
    <row r="2735" spans="1:8" ht="17.2" customHeight="1" x14ac:dyDescent="0.3">
      <c r="A2735" s="63"/>
      <c r="B2735" s="523" t="s">
        <v>336</v>
      </c>
      <c r="C2735" s="524"/>
      <c r="D2735" s="93" t="s">
        <v>220</v>
      </c>
      <c r="E2735" s="94">
        <v>0.5</v>
      </c>
      <c r="F2735" s="95">
        <v>75000</v>
      </c>
      <c r="G2735" s="67">
        <f t="shared" si="38"/>
        <v>37500</v>
      </c>
      <c r="H2735" s="73"/>
    </row>
    <row r="2736" spans="1:8" ht="17.2" customHeight="1" x14ac:dyDescent="0.3">
      <c r="A2736" s="63"/>
      <c r="B2736" s="523" t="s">
        <v>337</v>
      </c>
      <c r="C2736" s="524"/>
      <c r="D2736" s="93" t="s">
        <v>220</v>
      </c>
      <c r="E2736" s="94">
        <v>0.5</v>
      </c>
      <c r="F2736" s="95">
        <v>84000</v>
      </c>
      <c r="G2736" s="67">
        <f t="shared" si="38"/>
        <v>42000</v>
      </c>
      <c r="H2736" s="73"/>
    </row>
    <row r="2737" spans="1:8" ht="17.2" customHeight="1" x14ac:dyDescent="0.3">
      <c r="A2737" s="63"/>
      <c r="B2737" s="523" t="s">
        <v>349</v>
      </c>
      <c r="C2737" s="524"/>
      <c r="D2737" s="93" t="s">
        <v>350</v>
      </c>
      <c r="E2737" s="94">
        <v>1</v>
      </c>
      <c r="F2737" s="95">
        <v>20000</v>
      </c>
      <c r="G2737" s="67">
        <f t="shared" ref="G2737" si="39">ROUND(E2737*F2737,2)</f>
        <v>20000</v>
      </c>
      <c r="H2737" s="73"/>
    </row>
    <row r="2738" spans="1:8" ht="13.75" customHeight="1" x14ac:dyDescent="0.3">
      <c r="A2738" s="70" t="s">
        <v>46</v>
      </c>
      <c r="E2738" s="71" t="s">
        <v>47</v>
      </c>
      <c r="F2738" s="71"/>
      <c r="G2738" s="71"/>
      <c r="H2738" s="76">
        <f>ROUND(SUM(G2731:G2737),2)</f>
        <v>1023900</v>
      </c>
    </row>
    <row r="2739" spans="1:8" ht="17.2" customHeight="1" x14ac:dyDescent="0.3">
      <c r="A2739" s="61" t="s">
        <v>48</v>
      </c>
      <c r="B2739" s="525" t="s">
        <v>49</v>
      </c>
      <c r="C2739" s="526"/>
      <c r="D2739" s="526"/>
      <c r="E2739" s="526"/>
      <c r="F2739" s="526"/>
      <c r="G2739" s="527"/>
      <c r="H2739" s="73"/>
    </row>
    <row r="2740" spans="1:8" ht="17.2" customHeight="1" x14ac:dyDescent="0.3">
      <c r="A2740" s="62" t="s">
        <v>50</v>
      </c>
      <c r="B2740" s="62" t="s">
        <v>34</v>
      </c>
      <c r="C2740" s="62" t="s">
        <v>51</v>
      </c>
      <c r="D2740" s="62" t="s">
        <v>52</v>
      </c>
      <c r="E2740" s="74" t="s">
        <v>53</v>
      </c>
      <c r="F2740" s="64" t="s">
        <v>260</v>
      </c>
      <c r="G2740" s="64" t="s">
        <v>38</v>
      </c>
      <c r="H2740" s="73"/>
    </row>
    <row r="2741" spans="1:8" ht="17.2" customHeight="1" x14ac:dyDescent="0.3">
      <c r="A2741" s="62">
        <v>1</v>
      </c>
      <c r="B2741" s="63" t="s">
        <v>79</v>
      </c>
      <c r="C2741" s="77">
        <v>120000</v>
      </c>
      <c r="D2741" s="78">
        <v>0.75</v>
      </c>
      <c r="E2741" s="79">
        <f>+(A2741*C2741)+(A2741*C2741*D2741)</f>
        <v>210000</v>
      </c>
      <c r="F2741" s="75">
        <v>1</v>
      </c>
      <c r="G2741" s="65">
        <f>ROUND(E2741/(F2741),2)</f>
        <v>210000</v>
      </c>
      <c r="H2741" s="73"/>
    </row>
    <row r="2742" spans="1:8" ht="17.2" customHeight="1" x14ac:dyDescent="0.3">
      <c r="A2742" s="62">
        <v>3</v>
      </c>
      <c r="B2742" s="63" t="s">
        <v>80</v>
      </c>
      <c r="C2742" s="77">
        <v>70000</v>
      </c>
      <c r="D2742" s="78">
        <v>0.75</v>
      </c>
      <c r="E2742" s="79">
        <f>+(A2742*C2742)+(A2742*C2742*D2742)</f>
        <v>367500</v>
      </c>
      <c r="F2742" s="75">
        <v>1</v>
      </c>
      <c r="G2742" s="65">
        <f>ROUND(E2742/(F2742),2)</f>
        <v>367500</v>
      </c>
      <c r="H2742" s="73"/>
    </row>
    <row r="2743" spans="1:8" ht="17.2" customHeight="1" x14ac:dyDescent="0.3">
      <c r="A2743" s="63"/>
      <c r="B2743" s="63"/>
      <c r="C2743" s="63"/>
      <c r="D2743" s="63"/>
      <c r="E2743" s="64"/>
      <c r="F2743" s="64"/>
      <c r="G2743" s="64"/>
      <c r="H2743" s="73"/>
    </row>
    <row r="2744" spans="1:8" ht="17.2" customHeight="1" x14ac:dyDescent="0.3">
      <c r="A2744" s="70"/>
      <c r="E2744" s="71" t="s">
        <v>54</v>
      </c>
      <c r="F2744" s="71"/>
      <c r="G2744" s="71"/>
      <c r="H2744" s="72">
        <f>ROUND(SUM(G2741)+(G2742),2)</f>
        <v>577500</v>
      </c>
    </row>
    <row r="2745" spans="1:8" ht="17.2" customHeight="1" x14ac:dyDescent="0.3">
      <c r="A2745" s="61" t="s">
        <v>55</v>
      </c>
      <c r="B2745" s="525" t="s">
        <v>56</v>
      </c>
      <c r="C2745" s="526"/>
      <c r="D2745" s="526"/>
      <c r="E2745" s="526"/>
      <c r="F2745" s="526"/>
      <c r="G2745" s="527"/>
      <c r="H2745" s="73"/>
    </row>
    <row r="2746" spans="1:8" ht="17.2" customHeight="1" x14ac:dyDescent="0.3">
      <c r="A2746" s="63"/>
      <c r="B2746" s="63" t="s">
        <v>34</v>
      </c>
      <c r="C2746" s="62" t="s">
        <v>43</v>
      </c>
      <c r="D2746" s="62" t="s">
        <v>57</v>
      </c>
      <c r="E2746" s="62" t="s">
        <v>58</v>
      </c>
      <c r="F2746" s="62"/>
      <c r="G2746" s="64" t="s">
        <v>59</v>
      </c>
      <c r="H2746" s="73"/>
    </row>
    <row r="2747" spans="1:8" ht="17.2" customHeight="1" x14ac:dyDescent="0.3">
      <c r="A2747" s="63"/>
      <c r="B2747" s="63" t="s">
        <v>82</v>
      </c>
      <c r="C2747" s="80" t="s">
        <v>83</v>
      </c>
      <c r="D2747" s="63">
        <v>1</v>
      </c>
      <c r="E2747" s="64">
        <v>50000</v>
      </c>
      <c r="F2747" s="64"/>
      <c r="G2747" s="64">
        <f>D2747*E2747</f>
        <v>50000</v>
      </c>
      <c r="H2747" s="73"/>
    </row>
    <row r="2748" spans="1:8" ht="17.2" customHeight="1" x14ac:dyDescent="0.3">
      <c r="A2748" s="63"/>
      <c r="B2748" s="63"/>
      <c r="C2748" s="81"/>
      <c r="D2748" s="63"/>
      <c r="E2748" s="64"/>
      <c r="F2748" s="64"/>
      <c r="G2748" s="64"/>
      <c r="H2748" s="73"/>
    </row>
    <row r="2749" spans="1:8" ht="17.2" customHeight="1" x14ac:dyDescent="0.3">
      <c r="A2749" s="63"/>
      <c r="B2749" s="63"/>
      <c r="C2749" s="63"/>
      <c r="D2749" s="63"/>
      <c r="E2749" s="64"/>
      <c r="F2749" s="64"/>
      <c r="G2749" s="64"/>
      <c r="H2749" s="73"/>
    </row>
    <row r="2750" spans="1:8" ht="17.2" customHeight="1" x14ac:dyDescent="0.3">
      <c r="A2750" s="70"/>
      <c r="E2750" s="71" t="s">
        <v>54</v>
      </c>
      <c r="F2750" s="71"/>
      <c r="G2750" s="71"/>
      <c r="H2750" s="119">
        <f>ROUND(SUM(G2747)+(G2748),0)</f>
        <v>50000</v>
      </c>
    </row>
    <row r="2751" spans="1:8" ht="17.2" customHeight="1" x14ac:dyDescent="0.3">
      <c r="A2751" s="59"/>
      <c r="E2751" s="71"/>
      <c r="F2751" s="71"/>
      <c r="G2751" s="71"/>
      <c r="H2751" s="73"/>
    </row>
    <row r="2752" spans="1:8" ht="17.2" customHeight="1" x14ac:dyDescent="0.3">
      <c r="A2752" s="59"/>
      <c r="D2752" s="82" t="s">
        <v>60</v>
      </c>
      <c r="E2752" s="83"/>
      <c r="F2752" s="83"/>
      <c r="G2752" s="83"/>
      <c r="H2752" s="72">
        <f>ROUND(SUM(H2728:H2751),2)</f>
        <v>1709150</v>
      </c>
    </row>
    <row r="2753" spans="1:8" ht="17.2" customHeight="1" x14ac:dyDescent="0.3">
      <c r="A2753" s="59"/>
      <c r="E2753" s="71"/>
      <c r="F2753" s="71"/>
      <c r="G2753" s="71"/>
      <c r="H2753" s="73"/>
    </row>
    <row r="2754" spans="1:8" ht="17.2" customHeight="1" x14ac:dyDescent="0.3">
      <c r="A2754" s="61" t="s">
        <v>61</v>
      </c>
      <c r="B2754" s="525" t="s">
        <v>62</v>
      </c>
      <c r="C2754" s="526"/>
      <c r="D2754" s="526"/>
      <c r="E2754" s="526"/>
      <c r="F2754" s="526"/>
      <c r="G2754" s="527"/>
      <c r="H2754" s="73"/>
    </row>
    <row r="2755" spans="1:8" ht="17.2" customHeight="1" x14ac:dyDescent="0.3">
      <c r="A2755" s="62"/>
      <c r="B2755" s="518" t="s">
        <v>34</v>
      </c>
      <c r="C2755" s="519"/>
      <c r="D2755" s="518" t="s">
        <v>63</v>
      </c>
      <c r="E2755" s="519"/>
      <c r="F2755" s="528" t="s">
        <v>64</v>
      </c>
      <c r="G2755" s="529"/>
      <c r="H2755" s="73"/>
    </row>
    <row r="2756" spans="1:8" ht="17.2" customHeight="1" x14ac:dyDescent="0.3">
      <c r="A2756" s="63"/>
      <c r="B2756" s="518" t="s">
        <v>20</v>
      </c>
      <c r="C2756" s="519"/>
      <c r="D2756" s="520">
        <v>0.28000000000000003</v>
      </c>
      <c r="E2756" s="519"/>
      <c r="F2756" s="521">
        <f>+H2752*D2756</f>
        <v>478562.00000000006</v>
      </c>
      <c r="G2756" s="522"/>
      <c r="H2756" s="73"/>
    </row>
    <row r="2757" spans="1:8" ht="17.2" customHeight="1" x14ac:dyDescent="0.3">
      <c r="A2757" s="63"/>
      <c r="B2757" s="518" t="s">
        <v>21</v>
      </c>
      <c r="C2757" s="519"/>
      <c r="D2757" s="520">
        <v>0.01</v>
      </c>
      <c r="E2757" s="519"/>
      <c r="F2757" s="521">
        <f>+H2752*D2757</f>
        <v>17091.5</v>
      </c>
      <c r="G2757" s="522"/>
      <c r="H2757" s="73"/>
    </row>
    <row r="2758" spans="1:8" ht="17.2" customHeight="1" x14ac:dyDescent="0.3">
      <c r="A2758" s="63"/>
      <c r="B2758" s="518" t="s">
        <v>22</v>
      </c>
      <c r="C2758" s="519"/>
      <c r="D2758" s="520">
        <v>0.03</v>
      </c>
      <c r="E2758" s="519"/>
      <c r="F2758" s="521">
        <f>+H2752*D2758</f>
        <v>51274.5</v>
      </c>
      <c r="G2758" s="522"/>
      <c r="H2758" s="73"/>
    </row>
    <row r="2759" spans="1:8" ht="17.2" customHeight="1" x14ac:dyDescent="0.3">
      <c r="A2759" s="63"/>
      <c r="B2759" s="518" t="s">
        <v>188</v>
      </c>
      <c r="C2759" s="519"/>
      <c r="D2759" s="520">
        <v>0.19</v>
      </c>
      <c r="E2759" s="519"/>
      <c r="F2759" s="521">
        <f>D2759*F2758</f>
        <v>9742.1550000000007</v>
      </c>
      <c r="G2759" s="522"/>
      <c r="H2759" s="73"/>
    </row>
    <row r="2760" spans="1:8" ht="17.2" customHeight="1" x14ac:dyDescent="0.3">
      <c r="A2760" s="59"/>
      <c r="D2760" s="82" t="s">
        <v>65</v>
      </c>
      <c r="E2760" s="83"/>
      <c r="F2760" s="83"/>
      <c r="G2760" s="83"/>
      <c r="H2760" s="72">
        <f>SUM(F2756:G2759)</f>
        <v>556670.15500000003</v>
      </c>
    </row>
    <row r="2761" spans="1:8" ht="17.2" customHeight="1" x14ac:dyDescent="0.3">
      <c r="A2761" s="59"/>
      <c r="E2761" s="71"/>
      <c r="F2761" s="71"/>
      <c r="G2761" s="71"/>
      <c r="H2761" s="73"/>
    </row>
    <row r="2762" spans="1:8" ht="17.2" customHeight="1" x14ac:dyDescent="0.3">
      <c r="A2762" s="59"/>
      <c r="D2762" s="82" t="s">
        <v>66</v>
      </c>
      <c r="E2762" s="83"/>
      <c r="F2762" s="83"/>
      <c r="G2762" s="71"/>
      <c r="H2762" s="72">
        <f>H2752+H2760</f>
        <v>2265820.1550000003</v>
      </c>
    </row>
    <row r="2763" spans="1:8" ht="17.2" customHeight="1" x14ac:dyDescent="0.3">
      <c r="A2763" s="59"/>
      <c r="D2763" s="82"/>
      <c r="E2763" s="83"/>
      <c r="F2763" s="83"/>
      <c r="G2763" s="71"/>
      <c r="H2763" s="73"/>
    </row>
    <row r="2764" spans="1:8" ht="17.2" customHeight="1" x14ac:dyDescent="0.3">
      <c r="A2764" s="59"/>
      <c r="E2764" s="83"/>
      <c r="F2764" s="83"/>
      <c r="G2764" s="71"/>
      <c r="H2764" s="73"/>
    </row>
    <row r="2765" spans="1:8" ht="17.2" customHeight="1" x14ac:dyDescent="0.3">
      <c r="A2765" s="84"/>
      <c r="B2765" s="85"/>
      <c r="E2765" s="46"/>
      <c r="F2765" s="47"/>
      <c r="G2765" s="48"/>
      <c r="H2765" s="73"/>
    </row>
    <row r="2766" spans="1:8" ht="17.2" customHeight="1" x14ac:dyDescent="0.3">
      <c r="A2766" s="86" t="s">
        <v>67</v>
      </c>
      <c r="B2766" s="50" t="s">
        <v>68</v>
      </c>
      <c r="E2766" s="49" t="s">
        <v>27</v>
      </c>
      <c r="F2766" s="50"/>
      <c r="G2766" s="50"/>
      <c r="H2766" s="87"/>
    </row>
    <row r="2767" spans="1:8" ht="17.2" customHeight="1" x14ac:dyDescent="0.3">
      <c r="A2767" s="88" t="s">
        <v>28</v>
      </c>
      <c r="B2767" s="50"/>
      <c r="E2767" s="50" t="str">
        <f ca="1">+$E$52</f>
        <v>SECRETARIO DE PLANEACION Y OBRAS PUBLICAS</v>
      </c>
      <c r="F2767" s="50"/>
      <c r="G2767" s="50"/>
      <c r="H2767" s="87"/>
    </row>
    <row r="2768" spans="1:8" ht="17.2" customHeight="1" x14ac:dyDescent="0.3">
      <c r="A2768" s="89"/>
      <c r="B2768" s="90"/>
      <c r="C2768" s="85"/>
      <c r="D2768" s="85"/>
      <c r="E2768" s="90" t="str">
        <f ca="1">+$E$53</f>
        <v>SAN MIGUEL - PUTUMAYO</v>
      </c>
      <c r="F2768" s="90"/>
      <c r="G2768" s="90"/>
      <c r="H2768" s="91"/>
    </row>
    <row r="2769" spans="1:8" ht="17.2" customHeight="1" x14ac:dyDescent="0.3">
      <c r="A2769" s="556"/>
      <c r="B2769" s="557"/>
      <c r="C2769" s="380" t="s">
        <v>2</v>
      </c>
      <c r="D2769" s="382" t="s">
        <v>3</v>
      </c>
      <c r="E2769" s="383"/>
      <c r="F2769" s="1">
        <v>103</v>
      </c>
      <c r="G2769" s="548"/>
      <c r="H2769" s="549"/>
    </row>
    <row r="2770" spans="1:8" ht="17.2" customHeight="1" x14ac:dyDescent="0.3">
      <c r="A2770" s="558"/>
      <c r="B2770" s="559"/>
      <c r="C2770" s="381"/>
      <c r="D2770" s="396" t="s">
        <v>4</v>
      </c>
      <c r="E2770" s="397"/>
      <c r="F2770" s="400">
        <v>51</v>
      </c>
      <c r="G2770" s="550"/>
      <c r="H2770" s="551"/>
    </row>
    <row r="2771" spans="1:8" ht="17.2" customHeight="1" x14ac:dyDescent="0.3">
      <c r="A2771" s="558"/>
      <c r="B2771" s="559"/>
      <c r="C2771" s="5" t="s">
        <v>5</v>
      </c>
      <c r="D2771" s="398"/>
      <c r="E2771" s="399"/>
      <c r="F2771" s="401"/>
      <c r="G2771" s="550"/>
      <c r="H2771" s="551"/>
    </row>
    <row r="2772" spans="1:8" ht="17.2" customHeight="1" x14ac:dyDescent="0.3">
      <c r="A2772" s="558"/>
      <c r="B2772" s="559"/>
      <c r="C2772" s="55" t="s">
        <v>6</v>
      </c>
      <c r="D2772" s="402" t="s">
        <v>7</v>
      </c>
      <c r="E2772" s="403"/>
      <c r="F2772" s="7">
        <v>1</v>
      </c>
      <c r="G2772" s="550"/>
      <c r="H2772" s="551"/>
    </row>
    <row r="2773" spans="1:8" ht="17.2" customHeight="1" x14ac:dyDescent="0.3">
      <c r="A2773" s="558"/>
      <c r="B2773" s="559"/>
      <c r="C2773" s="530" t="s">
        <v>8</v>
      </c>
      <c r="D2773" s="532" t="s">
        <v>9</v>
      </c>
      <c r="E2773" s="533"/>
      <c r="F2773" s="5" t="s">
        <v>10</v>
      </c>
      <c r="G2773" s="550"/>
      <c r="H2773" s="551"/>
    </row>
    <row r="2774" spans="1:8" ht="17.2" customHeight="1" x14ac:dyDescent="0.3">
      <c r="A2774" s="560"/>
      <c r="B2774" s="561"/>
      <c r="C2774" s="531"/>
      <c r="D2774" s="534"/>
      <c r="E2774" s="535"/>
      <c r="F2774" s="8">
        <f>$F$6</f>
        <v>45402</v>
      </c>
      <c r="G2774" s="552"/>
      <c r="H2774" s="553"/>
    </row>
    <row r="2775" spans="1:8" ht="18.2" customHeight="1" thickBot="1" x14ac:dyDescent="0.35">
      <c r="A2775" s="536"/>
      <c r="B2775" s="537"/>
      <c r="C2775" s="537"/>
      <c r="D2775" s="537"/>
      <c r="E2775" s="537"/>
      <c r="F2775" s="537"/>
      <c r="G2775" s="537"/>
      <c r="H2775" s="538"/>
    </row>
    <row r="2776" spans="1:8" ht="18.2" customHeight="1" thickBot="1" x14ac:dyDescent="0.35">
      <c r="A2776" s="92">
        <v>7.7</v>
      </c>
      <c r="B2776" s="539" t="e">
        <f>VLOOKUP(A2776,PRESUPUESTO!$A$14:$G$78,2,)</f>
        <v>#N/A</v>
      </c>
      <c r="C2776" s="540"/>
      <c r="D2776" s="540"/>
      <c r="E2776" s="540"/>
      <c r="F2776" s="541"/>
      <c r="G2776" s="57" t="s">
        <v>31</v>
      </c>
      <c r="H2776" s="58" t="e">
        <f>VLOOKUP(A2776,PRESUPUESTO!$A$14:$G$78,4,)</f>
        <v>#N/A</v>
      </c>
    </row>
    <row r="2777" spans="1:8" ht="17.2" customHeight="1" x14ac:dyDescent="0.3">
      <c r="A2777" s="59"/>
      <c r="H2777" s="60"/>
    </row>
    <row r="2778" spans="1:8" ht="17.2" customHeight="1" x14ac:dyDescent="0.3">
      <c r="A2778" s="61" t="s">
        <v>32</v>
      </c>
      <c r="B2778" s="525" t="s">
        <v>33</v>
      </c>
      <c r="C2778" s="526"/>
      <c r="D2778" s="526"/>
      <c r="E2778" s="526"/>
      <c r="F2778" s="526"/>
      <c r="G2778" s="527"/>
      <c r="H2778" s="60"/>
    </row>
    <row r="2779" spans="1:8" ht="17.2" customHeight="1" x14ac:dyDescent="0.3">
      <c r="A2779" s="62"/>
      <c r="B2779" s="518" t="s">
        <v>34</v>
      </c>
      <c r="C2779" s="519"/>
      <c r="D2779" s="62" t="s">
        <v>35</v>
      </c>
      <c r="E2779" s="62" t="s">
        <v>69</v>
      </c>
      <c r="F2779" s="62" t="s">
        <v>70</v>
      </c>
      <c r="G2779" s="62" t="s">
        <v>38</v>
      </c>
      <c r="H2779" s="60"/>
    </row>
    <row r="2780" spans="1:8" ht="26.85" customHeight="1" x14ac:dyDescent="0.3">
      <c r="A2780" s="63"/>
      <c r="B2780" s="542" t="s">
        <v>39</v>
      </c>
      <c r="C2780" s="543"/>
      <c r="D2780" s="63"/>
      <c r="E2780" s="64"/>
      <c r="F2780" s="64">
        <v>0.1</v>
      </c>
      <c r="G2780" s="65">
        <f>ROUND(H2798*F2780,2)</f>
        <v>28875</v>
      </c>
      <c r="H2780" s="66"/>
    </row>
    <row r="2781" spans="1:8" ht="17.2" customHeight="1" x14ac:dyDescent="0.3">
      <c r="A2781" s="63"/>
      <c r="B2781" s="542"/>
      <c r="C2781" s="543"/>
      <c r="D2781" s="62"/>
      <c r="E2781" s="68"/>
      <c r="F2781" s="64"/>
      <c r="G2781" s="69"/>
      <c r="H2781" s="66"/>
    </row>
    <row r="2782" spans="1:8" ht="17.2" customHeight="1" x14ac:dyDescent="0.3">
      <c r="A2782" s="70"/>
      <c r="E2782" s="71" t="s">
        <v>40</v>
      </c>
      <c r="F2782" s="71"/>
      <c r="G2782" s="71"/>
      <c r="H2782" s="72">
        <f>ROUND(SUM(G2780:G2781),2)</f>
        <v>28875</v>
      </c>
    </row>
    <row r="2783" spans="1:8" ht="17.2" customHeight="1" x14ac:dyDescent="0.3">
      <c r="A2783" s="61" t="s">
        <v>41</v>
      </c>
      <c r="B2783" s="525" t="s">
        <v>42</v>
      </c>
      <c r="C2783" s="526"/>
      <c r="D2783" s="526"/>
      <c r="E2783" s="526"/>
      <c r="F2783" s="526"/>
      <c r="G2783" s="527"/>
      <c r="H2783" s="73"/>
    </row>
    <row r="2784" spans="1:8" ht="28.15" customHeight="1" x14ac:dyDescent="0.3">
      <c r="A2784" s="62"/>
      <c r="B2784" s="518" t="s">
        <v>34</v>
      </c>
      <c r="C2784" s="519"/>
      <c r="D2784" s="63" t="s">
        <v>43</v>
      </c>
      <c r="E2784" s="74" t="s">
        <v>44</v>
      </c>
      <c r="F2784" s="74" t="s">
        <v>45</v>
      </c>
      <c r="G2784" s="74" t="s">
        <v>38</v>
      </c>
      <c r="H2784" s="73"/>
    </row>
    <row r="2785" spans="1:8" ht="17.2" customHeight="1" x14ac:dyDescent="0.3">
      <c r="A2785" s="63"/>
      <c r="B2785" s="546" t="s">
        <v>334</v>
      </c>
      <c r="C2785" s="547"/>
      <c r="D2785" s="270" t="s">
        <v>218</v>
      </c>
      <c r="E2785" s="94">
        <v>1</v>
      </c>
      <c r="F2785" s="95">
        <v>430000</v>
      </c>
      <c r="G2785" s="120">
        <f>ROUND(E2785*F2785,2)</f>
        <v>430000</v>
      </c>
      <c r="H2785" s="73"/>
    </row>
    <row r="2786" spans="1:8" ht="17.2" customHeight="1" x14ac:dyDescent="0.3">
      <c r="A2786" s="63"/>
      <c r="B2786" s="546" t="s">
        <v>351</v>
      </c>
      <c r="C2786" s="547"/>
      <c r="D2786" s="270" t="s">
        <v>218</v>
      </c>
      <c r="E2786" s="94">
        <v>1</v>
      </c>
      <c r="F2786" s="95">
        <v>45000</v>
      </c>
      <c r="G2786" s="67">
        <f t="shared" ref="G2786:G2788" si="40">ROUND(E2786*F2786,2)</f>
        <v>45000</v>
      </c>
      <c r="H2786" s="73"/>
    </row>
    <row r="2787" spans="1:8" ht="17.2" customHeight="1" x14ac:dyDescent="0.3">
      <c r="A2787" s="63"/>
      <c r="B2787" s="523" t="s">
        <v>336</v>
      </c>
      <c r="C2787" s="524"/>
      <c r="D2787" s="93" t="s">
        <v>220</v>
      </c>
      <c r="E2787" s="94">
        <v>0.5</v>
      </c>
      <c r="F2787" s="95">
        <v>75000</v>
      </c>
      <c r="G2787" s="67">
        <f t="shared" si="40"/>
        <v>37500</v>
      </c>
      <c r="H2787" s="73"/>
    </row>
    <row r="2788" spans="1:8" ht="17.2" customHeight="1" x14ac:dyDescent="0.3">
      <c r="A2788" s="63"/>
      <c r="B2788" s="523" t="s">
        <v>337</v>
      </c>
      <c r="C2788" s="524"/>
      <c r="D2788" s="93" t="s">
        <v>220</v>
      </c>
      <c r="E2788" s="94">
        <v>0.5</v>
      </c>
      <c r="F2788" s="95">
        <v>84000</v>
      </c>
      <c r="G2788" s="67">
        <f t="shared" si="40"/>
        <v>42000</v>
      </c>
      <c r="H2788" s="73"/>
    </row>
    <row r="2789" spans="1:8" ht="17.2" customHeight="1" x14ac:dyDescent="0.3">
      <c r="A2789" s="63"/>
      <c r="B2789" s="523" t="s">
        <v>349</v>
      </c>
      <c r="C2789" s="524"/>
      <c r="D2789" s="93" t="s">
        <v>350</v>
      </c>
      <c r="E2789" s="94">
        <v>1</v>
      </c>
      <c r="F2789" s="95">
        <v>20000</v>
      </c>
      <c r="G2789" s="67">
        <f t="shared" ref="G2789:G2790" si="41">ROUND(E2789*F2789,2)</f>
        <v>20000</v>
      </c>
      <c r="H2789" s="73"/>
    </row>
    <row r="2790" spans="1:8" ht="17.2" customHeight="1" x14ac:dyDescent="0.3">
      <c r="A2790" s="63"/>
      <c r="B2790" s="523" t="s">
        <v>352</v>
      </c>
      <c r="C2790" s="524"/>
      <c r="D2790" s="93" t="s">
        <v>180</v>
      </c>
      <c r="E2790" s="94">
        <v>1</v>
      </c>
      <c r="F2790" s="95">
        <v>30000</v>
      </c>
      <c r="G2790" s="67">
        <f t="shared" si="41"/>
        <v>30000</v>
      </c>
      <c r="H2790" s="73"/>
    </row>
    <row r="2791" spans="1:8" ht="17.2" customHeight="1" x14ac:dyDescent="0.3">
      <c r="A2791" s="63"/>
      <c r="B2791" s="523"/>
      <c r="C2791" s="524"/>
      <c r="D2791" s="93"/>
      <c r="E2791" s="94"/>
      <c r="F2791" s="95"/>
      <c r="G2791" s="67"/>
      <c r="H2791" s="73"/>
    </row>
    <row r="2792" spans="1:8" ht="17.2" customHeight="1" x14ac:dyDescent="0.3">
      <c r="A2792" s="70" t="s">
        <v>46</v>
      </c>
      <c r="E2792" s="71" t="s">
        <v>47</v>
      </c>
      <c r="F2792" s="71"/>
      <c r="G2792" s="71"/>
      <c r="H2792" s="76">
        <f>ROUND(SUM(G2785:G2791),2)</f>
        <v>604500</v>
      </c>
    </row>
    <row r="2793" spans="1:8" ht="17.2" customHeight="1" x14ac:dyDescent="0.3">
      <c r="A2793" s="61" t="s">
        <v>48</v>
      </c>
      <c r="B2793" s="525" t="s">
        <v>49</v>
      </c>
      <c r="C2793" s="526"/>
      <c r="D2793" s="526"/>
      <c r="E2793" s="526"/>
      <c r="F2793" s="526"/>
      <c r="G2793" s="527"/>
      <c r="H2793" s="73"/>
    </row>
    <row r="2794" spans="1:8" ht="17.2" customHeight="1" x14ac:dyDescent="0.3">
      <c r="A2794" s="62" t="s">
        <v>50</v>
      </c>
      <c r="B2794" s="62" t="s">
        <v>34</v>
      </c>
      <c r="C2794" s="62" t="s">
        <v>51</v>
      </c>
      <c r="D2794" s="62" t="s">
        <v>52</v>
      </c>
      <c r="E2794" s="74" t="s">
        <v>53</v>
      </c>
      <c r="F2794" s="64" t="s">
        <v>260</v>
      </c>
      <c r="G2794" s="64" t="s">
        <v>38</v>
      </c>
      <c r="H2794" s="73"/>
    </row>
    <row r="2795" spans="1:8" ht="15.05" x14ac:dyDescent="0.3">
      <c r="A2795" s="62">
        <v>1</v>
      </c>
      <c r="B2795" s="63" t="s">
        <v>79</v>
      </c>
      <c r="C2795" s="77">
        <v>120000</v>
      </c>
      <c r="D2795" s="78">
        <v>0.75</v>
      </c>
      <c r="E2795" s="79">
        <f>+(A2795*C2795)+(A2795*C2795*D2795)</f>
        <v>210000</v>
      </c>
      <c r="F2795" s="75">
        <v>2</v>
      </c>
      <c r="G2795" s="65">
        <f>ROUND(E2795/(F2795),2)</f>
        <v>105000</v>
      </c>
      <c r="H2795" s="73"/>
    </row>
    <row r="2796" spans="1:8" ht="17.2" customHeight="1" x14ac:dyDescent="0.3">
      <c r="A2796" s="62">
        <v>3</v>
      </c>
      <c r="B2796" s="63" t="s">
        <v>80</v>
      </c>
      <c r="C2796" s="77">
        <v>70000</v>
      </c>
      <c r="D2796" s="78">
        <v>0.75</v>
      </c>
      <c r="E2796" s="79">
        <f>+(A2796*C2796)+(A2796*C2796*D2796)</f>
        <v>367500</v>
      </c>
      <c r="F2796" s="75">
        <v>2</v>
      </c>
      <c r="G2796" s="65">
        <f>ROUND(E2796/(F2796),2)</f>
        <v>183750</v>
      </c>
      <c r="H2796" s="73"/>
    </row>
    <row r="2797" spans="1:8" ht="17.2" customHeight="1" x14ac:dyDescent="0.3">
      <c r="A2797" s="63"/>
      <c r="B2797" s="63"/>
      <c r="C2797" s="63"/>
      <c r="D2797" s="63"/>
      <c r="E2797" s="64"/>
      <c r="F2797" s="64"/>
      <c r="G2797" s="64"/>
      <c r="H2797" s="73"/>
    </row>
    <row r="2798" spans="1:8" ht="17.2" customHeight="1" x14ac:dyDescent="0.3">
      <c r="A2798" s="70"/>
      <c r="E2798" s="71" t="s">
        <v>54</v>
      </c>
      <c r="F2798" s="71"/>
      <c r="G2798" s="71"/>
      <c r="H2798" s="72">
        <f>ROUND(SUM(G2795)+(G2796),2)</f>
        <v>288750</v>
      </c>
    </row>
    <row r="2799" spans="1:8" ht="17.2" customHeight="1" x14ac:dyDescent="0.3">
      <c r="A2799" s="61" t="s">
        <v>55</v>
      </c>
      <c r="B2799" s="525" t="s">
        <v>56</v>
      </c>
      <c r="C2799" s="526"/>
      <c r="D2799" s="526"/>
      <c r="E2799" s="526"/>
      <c r="F2799" s="526"/>
      <c r="G2799" s="527"/>
      <c r="H2799" s="73"/>
    </row>
    <row r="2800" spans="1:8" ht="17.2" customHeight="1" x14ac:dyDescent="0.3">
      <c r="A2800" s="63"/>
      <c r="B2800" s="63" t="s">
        <v>34</v>
      </c>
      <c r="C2800" s="62" t="s">
        <v>43</v>
      </c>
      <c r="D2800" s="62" t="s">
        <v>57</v>
      </c>
      <c r="E2800" s="62" t="s">
        <v>58</v>
      </c>
      <c r="F2800" s="62"/>
      <c r="G2800" s="64" t="s">
        <v>59</v>
      </c>
      <c r="H2800" s="73"/>
    </row>
    <row r="2801" spans="1:8" ht="17.2" customHeight="1" x14ac:dyDescent="0.3">
      <c r="A2801" s="63"/>
      <c r="B2801" s="63" t="s">
        <v>82</v>
      </c>
      <c r="C2801" s="80" t="s">
        <v>83</v>
      </c>
      <c r="D2801" s="63">
        <v>1</v>
      </c>
      <c r="E2801" s="64">
        <v>50000</v>
      </c>
      <c r="F2801" s="64"/>
      <c r="G2801" s="64">
        <f>D2801*E2801</f>
        <v>50000</v>
      </c>
      <c r="H2801" s="73"/>
    </row>
    <row r="2802" spans="1:8" ht="17.2" customHeight="1" x14ac:dyDescent="0.3">
      <c r="A2802" s="63"/>
      <c r="B2802" s="63"/>
      <c r="C2802" s="81"/>
      <c r="D2802" s="63"/>
      <c r="E2802" s="64"/>
      <c r="F2802" s="64"/>
      <c r="G2802" s="64"/>
      <c r="H2802" s="73"/>
    </row>
    <row r="2803" spans="1:8" ht="17.2" customHeight="1" x14ac:dyDescent="0.3">
      <c r="A2803" s="63"/>
      <c r="B2803" s="63"/>
      <c r="C2803" s="63"/>
      <c r="D2803" s="63"/>
      <c r="E2803" s="64"/>
      <c r="F2803" s="64"/>
      <c r="G2803" s="64"/>
      <c r="H2803" s="73"/>
    </row>
    <row r="2804" spans="1:8" ht="17.2" customHeight="1" x14ac:dyDescent="0.3">
      <c r="A2804" s="70"/>
      <c r="E2804" s="71" t="s">
        <v>54</v>
      </c>
      <c r="F2804" s="71"/>
      <c r="G2804" s="71"/>
      <c r="H2804" s="119">
        <f>ROUND(SUM(G2801)+(G2802),0)</f>
        <v>50000</v>
      </c>
    </row>
    <row r="2805" spans="1:8" ht="17.2" customHeight="1" x14ac:dyDescent="0.3">
      <c r="A2805" s="59"/>
      <c r="E2805" s="71"/>
      <c r="F2805" s="71"/>
      <c r="G2805" s="71"/>
      <c r="H2805" s="73"/>
    </row>
    <row r="2806" spans="1:8" ht="17.2" customHeight="1" x14ac:dyDescent="0.3">
      <c r="A2806" s="59"/>
      <c r="D2806" s="82" t="s">
        <v>60</v>
      </c>
      <c r="E2806" s="83"/>
      <c r="F2806" s="83"/>
      <c r="G2806" s="83"/>
      <c r="H2806" s="72">
        <f>ROUND(SUM(H2782:H2805),2)</f>
        <v>972125</v>
      </c>
    </row>
    <row r="2807" spans="1:8" ht="17.2" customHeight="1" x14ac:dyDescent="0.3">
      <c r="A2807" s="59"/>
      <c r="E2807" s="71"/>
      <c r="F2807" s="71"/>
      <c r="G2807" s="71"/>
      <c r="H2807" s="73"/>
    </row>
    <row r="2808" spans="1:8" ht="17.2" customHeight="1" x14ac:dyDescent="0.3">
      <c r="A2808" s="61" t="s">
        <v>61</v>
      </c>
      <c r="B2808" s="525" t="s">
        <v>62</v>
      </c>
      <c r="C2808" s="526"/>
      <c r="D2808" s="526"/>
      <c r="E2808" s="526"/>
      <c r="F2808" s="526"/>
      <c r="G2808" s="527"/>
      <c r="H2808" s="73"/>
    </row>
    <row r="2809" spans="1:8" ht="17.2" customHeight="1" x14ac:dyDescent="0.3">
      <c r="A2809" s="62"/>
      <c r="B2809" s="518" t="s">
        <v>34</v>
      </c>
      <c r="C2809" s="519"/>
      <c r="D2809" s="518" t="s">
        <v>63</v>
      </c>
      <c r="E2809" s="519"/>
      <c r="F2809" s="528" t="s">
        <v>64</v>
      </c>
      <c r="G2809" s="529"/>
      <c r="H2809" s="73"/>
    </row>
    <row r="2810" spans="1:8" ht="17.2" customHeight="1" x14ac:dyDescent="0.3">
      <c r="A2810" s="63"/>
      <c r="B2810" s="518" t="s">
        <v>20</v>
      </c>
      <c r="C2810" s="519"/>
      <c r="D2810" s="520">
        <v>0.28000000000000003</v>
      </c>
      <c r="E2810" s="519"/>
      <c r="F2810" s="521">
        <f>+H2806*D2810</f>
        <v>272195</v>
      </c>
      <c r="G2810" s="522"/>
      <c r="H2810" s="73"/>
    </row>
    <row r="2811" spans="1:8" ht="17.2" customHeight="1" x14ac:dyDescent="0.3">
      <c r="A2811" s="63"/>
      <c r="B2811" s="518" t="s">
        <v>21</v>
      </c>
      <c r="C2811" s="519"/>
      <c r="D2811" s="520">
        <v>0.01</v>
      </c>
      <c r="E2811" s="519"/>
      <c r="F2811" s="521">
        <f>+H2806*D2811</f>
        <v>9721.25</v>
      </c>
      <c r="G2811" s="522"/>
      <c r="H2811" s="73"/>
    </row>
    <row r="2812" spans="1:8" ht="17.2" customHeight="1" x14ac:dyDescent="0.3">
      <c r="A2812" s="63"/>
      <c r="B2812" s="518" t="s">
        <v>22</v>
      </c>
      <c r="C2812" s="519"/>
      <c r="D2812" s="520">
        <v>0.03</v>
      </c>
      <c r="E2812" s="519"/>
      <c r="F2812" s="521">
        <f>+H2806*D2812</f>
        <v>29163.75</v>
      </c>
      <c r="G2812" s="522"/>
      <c r="H2812" s="73"/>
    </row>
    <row r="2813" spans="1:8" ht="17.2" customHeight="1" x14ac:dyDescent="0.3">
      <c r="A2813" s="63"/>
      <c r="B2813" s="518" t="s">
        <v>188</v>
      </c>
      <c r="C2813" s="519"/>
      <c r="D2813" s="520">
        <v>0.19</v>
      </c>
      <c r="E2813" s="519"/>
      <c r="F2813" s="521">
        <f>D2813*F2812</f>
        <v>5541.1125000000002</v>
      </c>
      <c r="G2813" s="522"/>
      <c r="H2813" s="73"/>
    </row>
    <row r="2814" spans="1:8" ht="17.2" customHeight="1" x14ac:dyDescent="0.3">
      <c r="A2814" s="59"/>
      <c r="D2814" s="82" t="s">
        <v>65</v>
      </c>
      <c r="E2814" s="83"/>
      <c r="F2814" s="83"/>
      <c r="G2814" s="83"/>
      <c r="H2814" s="72">
        <f>SUM(F2810:G2813)</f>
        <v>316621.11249999999</v>
      </c>
    </row>
    <row r="2815" spans="1:8" ht="17.2" customHeight="1" x14ac:dyDescent="0.3">
      <c r="A2815" s="59"/>
      <c r="E2815" s="71"/>
      <c r="F2815" s="71"/>
      <c r="G2815" s="71"/>
      <c r="H2815" s="73"/>
    </row>
    <row r="2816" spans="1:8" ht="17.2" customHeight="1" x14ac:dyDescent="0.3">
      <c r="A2816" s="59"/>
      <c r="D2816" s="82" t="s">
        <v>66</v>
      </c>
      <c r="E2816" s="83"/>
      <c r="F2816" s="83"/>
      <c r="G2816" s="71"/>
      <c r="H2816" s="72">
        <f>H2806+H2814</f>
        <v>1288746.1125</v>
      </c>
    </row>
    <row r="2817" spans="1:8" ht="17.2" customHeight="1" x14ac:dyDescent="0.3">
      <c r="A2817" s="59"/>
      <c r="D2817" s="82"/>
      <c r="E2817" s="83"/>
      <c r="F2817" s="83"/>
      <c r="G2817" s="71"/>
      <c r="H2817" s="73"/>
    </row>
    <row r="2818" spans="1:8" ht="17.2" customHeight="1" x14ac:dyDescent="0.3">
      <c r="A2818" s="59"/>
      <c r="E2818" s="83"/>
      <c r="F2818" s="83"/>
      <c r="G2818" s="71"/>
      <c r="H2818" s="73"/>
    </row>
    <row r="2819" spans="1:8" ht="17.2" customHeight="1" x14ac:dyDescent="0.3">
      <c r="A2819" s="84"/>
      <c r="B2819" s="85"/>
      <c r="E2819" s="46"/>
      <c r="F2819" s="47"/>
      <c r="G2819" s="48"/>
      <c r="H2819" s="73"/>
    </row>
    <row r="2820" spans="1:8" ht="17.2" customHeight="1" x14ac:dyDescent="0.3">
      <c r="A2820" s="86" t="s">
        <v>67</v>
      </c>
      <c r="B2820" s="50" t="s">
        <v>68</v>
      </c>
      <c r="E2820" s="49" t="s">
        <v>27</v>
      </c>
      <c r="F2820" s="50"/>
      <c r="G2820" s="50"/>
      <c r="H2820" s="87"/>
    </row>
    <row r="2821" spans="1:8" ht="17.2" customHeight="1" x14ac:dyDescent="0.3">
      <c r="A2821" s="88" t="s">
        <v>28</v>
      </c>
      <c r="B2821" s="50"/>
      <c r="E2821" s="50" t="str">
        <f ca="1">+$E$52</f>
        <v>SECRETARIO DE PLANEACION Y OBRAS PUBLICAS</v>
      </c>
      <c r="F2821" s="50"/>
      <c r="G2821" s="50"/>
      <c r="H2821" s="87"/>
    </row>
    <row r="2822" spans="1:8" ht="17.2" customHeight="1" x14ac:dyDescent="0.3">
      <c r="A2822" s="88"/>
      <c r="B2822" s="50"/>
      <c r="E2822" s="50" t="str">
        <f ca="1">+$E$53</f>
        <v>SAN MIGUEL - PUTUMAYO</v>
      </c>
      <c r="F2822" s="50"/>
      <c r="G2822" s="50"/>
      <c r="H2822" s="87"/>
    </row>
    <row r="2823" spans="1:8" ht="17.2" customHeight="1" x14ac:dyDescent="0.3">
      <c r="A2823" s="50"/>
      <c r="B2823" s="50"/>
      <c r="E2823" s="50"/>
      <c r="F2823" s="50"/>
      <c r="G2823" s="50"/>
      <c r="H2823" s="50"/>
    </row>
    <row r="2824" spans="1:8" ht="17.2" customHeight="1" x14ac:dyDescent="0.3">
      <c r="A2824" s="556"/>
      <c r="B2824" s="557"/>
      <c r="C2824" s="380" t="s">
        <v>2</v>
      </c>
      <c r="D2824" s="568" t="s">
        <v>3</v>
      </c>
      <c r="E2824" s="569"/>
      <c r="F2824" s="279">
        <v>103</v>
      </c>
      <c r="G2824" s="548"/>
      <c r="H2824" s="549"/>
    </row>
    <row r="2825" spans="1:8" ht="17.2" customHeight="1" x14ac:dyDescent="0.3">
      <c r="A2825" s="558"/>
      <c r="B2825" s="559"/>
      <c r="C2825" s="381"/>
      <c r="D2825" s="396" t="s">
        <v>4</v>
      </c>
      <c r="E2825" s="397"/>
      <c r="F2825" s="400">
        <v>51</v>
      </c>
      <c r="G2825" s="550"/>
      <c r="H2825" s="551"/>
    </row>
    <row r="2826" spans="1:8" ht="17.2" customHeight="1" x14ac:dyDescent="0.3">
      <c r="A2826" s="558"/>
      <c r="B2826" s="559"/>
      <c r="C2826" s="5" t="s">
        <v>5</v>
      </c>
      <c r="D2826" s="398"/>
      <c r="E2826" s="399"/>
      <c r="F2826" s="401"/>
      <c r="G2826" s="550"/>
      <c r="H2826" s="551"/>
    </row>
    <row r="2827" spans="1:8" ht="18.2" customHeight="1" x14ac:dyDescent="0.3">
      <c r="A2827" s="558"/>
      <c r="B2827" s="559"/>
      <c r="C2827" s="55" t="s">
        <v>6</v>
      </c>
      <c r="D2827" s="402" t="s">
        <v>7</v>
      </c>
      <c r="E2827" s="403"/>
      <c r="F2827" s="7">
        <v>1</v>
      </c>
      <c r="G2827" s="550"/>
      <c r="H2827" s="551"/>
    </row>
    <row r="2828" spans="1:8" ht="17.2" customHeight="1" x14ac:dyDescent="0.3">
      <c r="A2828" s="558"/>
      <c r="B2828" s="559"/>
      <c r="C2828" s="530" t="s">
        <v>8</v>
      </c>
      <c r="D2828" s="532" t="s">
        <v>9</v>
      </c>
      <c r="E2828" s="533"/>
      <c r="F2828" s="5" t="s">
        <v>10</v>
      </c>
      <c r="G2828" s="550"/>
      <c r="H2828" s="551"/>
    </row>
    <row r="2829" spans="1:8" ht="17.2" customHeight="1" x14ac:dyDescent="0.3">
      <c r="A2829" s="560"/>
      <c r="B2829" s="561"/>
      <c r="C2829" s="531"/>
      <c r="D2829" s="534"/>
      <c r="E2829" s="535"/>
      <c r="F2829" s="8">
        <f>$F$6</f>
        <v>45402</v>
      </c>
      <c r="G2829" s="552"/>
      <c r="H2829" s="553"/>
    </row>
    <row r="2830" spans="1:8" ht="17.2" customHeight="1" thickBot="1" x14ac:dyDescent="0.35">
      <c r="A2830" s="536"/>
      <c r="B2830" s="537"/>
      <c r="C2830" s="537"/>
      <c r="D2830" s="537"/>
      <c r="E2830" s="537"/>
      <c r="F2830" s="537"/>
      <c r="G2830" s="537"/>
      <c r="H2830" s="538"/>
    </row>
    <row r="2831" spans="1:8" ht="17.2" customHeight="1" thickBot="1" x14ac:dyDescent="0.35">
      <c r="A2831" s="92">
        <v>7.7</v>
      </c>
      <c r="B2831" s="539" t="str">
        <f>PRESUPUESTO!B79</f>
        <v>Suministro e instalación de pasamanos en acero inoxidable AISI 304 con postes anclados a losa</v>
      </c>
      <c r="C2831" s="540"/>
      <c r="D2831" s="540"/>
      <c r="E2831" s="540"/>
      <c r="F2831" s="541"/>
      <c r="G2831" s="57" t="s">
        <v>31</v>
      </c>
      <c r="H2831" s="58" t="str">
        <f>PRESUPUESTO!D79</f>
        <v>ML</v>
      </c>
    </row>
    <row r="2832" spans="1:8" ht="26.85" customHeight="1" x14ac:dyDescent="0.3">
      <c r="A2832" s="59"/>
      <c r="H2832" s="60"/>
    </row>
    <row r="2833" spans="1:8" ht="17.2" customHeight="1" x14ac:dyDescent="0.3">
      <c r="A2833" s="61" t="s">
        <v>32</v>
      </c>
      <c r="B2833" s="525" t="s">
        <v>33</v>
      </c>
      <c r="C2833" s="526"/>
      <c r="D2833" s="526"/>
      <c r="E2833" s="526"/>
      <c r="F2833" s="526"/>
      <c r="G2833" s="527"/>
      <c r="H2833" s="60"/>
    </row>
    <row r="2834" spans="1:8" ht="17.2" customHeight="1" x14ac:dyDescent="0.3">
      <c r="A2834" s="62"/>
      <c r="B2834" s="518" t="s">
        <v>34</v>
      </c>
      <c r="C2834" s="519"/>
      <c r="D2834" s="62" t="s">
        <v>35</v>
      </c>
      <c r="E2834" s="62" t="s">
        <v>69</v>
      </c>
      <c r="F2834" s="62" t="s">
        <v>70</v>
      </c>
      <c r="G2834" s="62" t="s">
        <v>38</v>
      </c>
      <c r="H2834" s="60"/>
    </row>
    <row r="2835" spans="1:8" ht="17.2" customHeight="1" x14ac:dyDescent="0.3">
      <c r="A2835" s="63"/>
      <c r="B2835" s="542" t="s">
        <v>39</v>
      </c>
      <c r="C2835" s="543"/>
      <c r="D2835" s="62"/>
      <c r="E2835" s="64"/>
      <c r="F2835" s="74">
        <v>0.1</v>
      </c>
      <c r="G2835" s="65">
        <f>H2850*F2835</f>
        <v>9800</v>
      </c>
      <c r="H2835" s="66"/>
    </row>
    <row r="2836" spans="1:8" ht="28.15" customHeight="1" x14ac:dyDescent="0.3">
      <c r="A2836" s="63"/>
      <c r="B2836" s="542" t="s">
        <v>362</v>
      </c>
      <c r="C2836" s="543"/>
      <c r="D2836" s="62" t="s">
        <v>363</v>
      </c>
      <c r="E2836" s="64">
        <v>60000</v>
      </c>
      <c r="F2836" s="74">
        <v>0.05</v>
      </c>
      <c r="G2836" s="65">
        <f>F2836*E2836</f>
        <v>3000</v>
      </c>
      <c r="H2836" s="66"/>
    </row>
    <row r="2837" spans="1:8" ht="17.2" customHeight="1" x14ac:dyDescent="0.3">
      <c r="A2837" s="63"/>
      <c r="B2837" s="542" t="s">
        <v>456</v>
      </c>
      <c r="C2837" s="543"/>
      <c r="D2837" s="62" t="s">
        <v>363</v>
      </c>
      <c r="E2837" s="64">
        <v>150000</v>
      </c>
      <c r="F2837" s="74">
        <v>0.1</v>
      </c>
      <c r="G2837" s="65">
        <f>F2837*E2837</f>
        <v>15000</v>
      </c>
      <c r="H2837" s="66"/>
    </row>
    <row r="2838" spans="1:8" ht="17.2" customHeight="1" x14ac:dyDescent="0.3">
      <c r="A2838" s="63"/>
      <c r="B2838" s="542" t="s">
        <v>455</v>
      </c>
      <c r="C2838" s="543"/>
      <c r="D2838" s="62" t="s">
        <v>363</v>
      </c>
      <c r="E2838" s="64">
        <v>45000</v>
      </c>
      <c r="F2838" s="74">
        <v>0.05</v>
      </c>
      <c r="G2838" s="65">
        <f>F2838*E2838</f>
        <v>2250</v>
      </c>
      <c r="H2838" s="66"/>
    </row>
    <row r="2839" spans="1:8" ht="17.2" customHeight="1" x14ac:dyDescent="0.3">
      <c r="A2839" s="59"/>
      <c r="E2839" s="71" t="s">
        <v>40</v>
      </c>
      <c r="F2839" s="71"/>
      <c r="G2839" s="71"/>
      <c r="H2839" s="72">
        <f>ROUND(SUM(G2835:G2838),2)</f>
        <v>30050</v>
      </c>
    </row>
    <row r="2840" spans="1:8" ht="17.2" customHeight="1" x14ac:dyDescent="0.3">
      <c r="A2840" s="61" t="s">
        <v>41</v>
      </c>
      <c r="B2840" s="525" t="s">
        <v>42</v>
      </c>
      <c r="C2840" s="526"/>
      <c r="D2840" s="526"/>
      <c r="E2840" s="526"/>
      <c r="F2840" s="526"/>
      <c r="G2840" s="527"/>
      <c r="H2840" s="73"/>
    </row>
    <row r="2841" spans="1:8" ht="17.2" customHeight="1" x14ac:dyDescent="0.3">
      <c r="A2841" s="62"/>
      <c r="B2841" s="518" t="s">
        <v>34</v>
      </c>
      <c r="C2841" s="519"/>
      <c r="D2841" s="63" t="s">
        <v>43</v>
      </c>
      <c r="E2841" s="74" t="s">
        <v>44</v>
      </c>
      <c r="F2841" s="74" t="s">
        <v>45</v>
      </c>
      <c r="G2841" s="74" t="s">
        <v>38</v>
      </c>
      <c r="H2841" s="73"/>
    </row>
    <row r="2842" spans="1:8" ht="17.2" customHeight="1" x14ac:dyDescent="0.3">
      <c r="A2842" s="63"/>
      <c r="B2842" s="566" t="s">
        <v>364</v>
      </c>
      <c r="C2842" s="567"/>
      <c r="D2842" s="281" t="s">
        <v>233</v>
      </c>
      <c r="E2842" s="94">
        <v>1.05</v>
      </c>
      <c r="F2842" s="30">
        <v>640000</v>
      </c>
      <c r="G2842" s="282">
        <f>ROUND((E2842*F2842),2)</f>
        <v>672000</v>
      </c>
      <c r="H2842" s="73"/>
    </row>
    <row r="2843" spans="1:8" ht="17.2" customHeight="1" x14ac:dyDescent="0.3">
      <c r="A2843" s="63"/>
      <c r="B2843" s="546"/>
      <c r="C2843" s="547"/>
      <c r="D2843" s="270"/>
      <c r="E2843" s="94"/>
      <c r="F2843" s="95"/>
      <c r="G2843" s="67"/>
      <c r="H2843" s="73"/>
    </row>
    <row r="2844" spans="1:8" ht="17.2" customHeight="1" x14ac:dyDescent="0.3">
      <c r="A2844" s="70" t="s">
        <v>46</v>
      </c>
      <c r="E2844" s="71" t="s">
        <v>47</v>
      </c>
      <c r="F2844" s="71"/>
      <c r="G2844" s="71"/>
      <c r="H2844" s="76">
        <f>ROUND(SUM(G2842:G2843),2)</f>
        <v>672000</v>
      </c>
    </row>
    <row r="2845" spans="1:8" ht="17.2" customHeight="1" x14ac:dyDescent="0.3">
      <c r="A2845" s="61" t="s">
        <v>48</v>
      </c>
      <c r="B2845" s="525" t="s">
        <v>49</v>
      </c>
      <c r="C2845" s="526"/>
      <c r="D2845" s="526"/>
      <c r="E2845" s="526"/>
      <c r="F2845" s="526"/>
      <c r="G2845" s="527"/>
      <c r="H2845" s="73"/>
    </row>
    <row r="2846" spans="1:8" ht="17.2" customHeight="1" x14ac:dyDescent="0.3">
      <c r="A2846" s="62" t="s">
        <v>50</v>
      </c>
      <c r="B2846" s="62" t="s">
        <v>34</v>
      </c>
      <c r="C2846" s="62" t="s">
        <v>51</v>
      </c>
      <c r="D2846" s="62" t="s">
        <v>52</v>
      </c>
      <c r="E2846" s="74" t="s">
        <v>53</v>
      </c>
      <c r="F2846" s="64" t="s">
        <v>260</v>
      </c>
      <c r="G2846" s="64" t="s">
        <v>38</v>
      </c>
      <c r="H2846" s="73"/>
    </row>
    <row r="2847" spans="1:8" ht="15.05" x14ac:dyDescent="0.3">
      <c r="A2847" s="62">
        <v>2</v>
      </c>
      <c r="B2847" s="63" t="s">
        <v>365</v>
      </c>
      <c r="C2847" s="77">
        <v>70000</v>
      </c>
      <c r="D2847" s="78">
        <v>0.75</v>
      </c>
      <c r="E2847" s="81">
        <f>+(A2847*C2847)+(A2847*C2847*D2847)</f>
        <v>245000</v>
      </c>
      <c r="F2847" s="340">
        <v>5</v>
      </c>
      <c r="G2847" s="65">
        <f>(E2847)/(F2847)</f>
        <v>49000</v>
      </c>
      <c r="H2847" s="73"/>
    </row>
    <row r="2848" spans="1:8" ht="17.2" customHeight="1" x14ac:dyDescent="0.3">
      <c r="A2848" s="62">
        <v>1</v>
      </c>
      <c r="B2848" s="63" t="s">
        <v>454</v>
      </c>
      <c r="C2848" s="77">
        <v>140000</v>
      </c>
      <c r="D2848" s="78">
        <v>0.75</v>
      </c>
      <c r="E2848" s="81">
        <f>+(A2848*C2848)+(A2848*C2848*D2848)</f>
        <v>245000</v>
      </c>
      <c r="F2848" s="340">
        <v>5</v>
      </c>
      <c r="G2848" s="65">
        <f>(E2848)/(F2848)</f>
        <v>49000</v>
      </c>
      <c r="H2848" s="73"/>
    </row>
    <row r="2849" spans="1:8" ht="17.2" customHeight="1" x14ac:dyDescent="0.3">
      <c r="A2849" s="63"/>
      <c r="B2849" s="63"/>
      <c r="C2849" s="63"/>
      <c r="D2849" s="63"/>
      <c r="E2849" s="64"/>
      <c r="F2849" s="64"/>
      <c r="G2849" s="64"/>
      <c r="H2849" s="73"/>
    </row>
    <row r="2850" spans="1:8" ht="17.2" customHeight="1" x14ac:dyDescent="0.3">
      <c r="A2850" s="70"/>
      <c r="E2850" s="71" t="s">
        <v>54</v>
      </c>
      <c r="F2850" s="71"/>
      <c r="G2850" s="71"/>
      <c r="H2850" s="72">
        <f>ROUND(SUM(G2847)+(G2848),2)</f>
        <v>98000</v>
      </c>
    </row>
    <row r="2851" spans="1:8" ht="17.2" customHeight="1" x14ac:dyDescent="0.3">
      <c r="A2851" s="61" t="s">
        <v>55</v>
      </c>
      <c r="B2851" s="525" t="s">
        <v>56</v>
      </c>
      <c r="C2851" s="526"/>
      <c r="D2851" s="526"/>
      <c r="E2851" s="526"/>
      <c r="F2851" s="526"/>
      <c r="G2851" s="527"/>
      <c r="H2851" s="73"/>
    </row>
    <row r="2852" spans="1:8" ht="17.2" customHeight="1" x14ac:dyDescent="0.3">
      <c r="A2852" s="63"/>
      <c r="B2852" s="63" t="s">
        <v>34</v>
      </c>
      <c r="C2852" s="62" t="s">
        <v>43</v>
      </c>
      <c r="D2852" s="62" t="s">
        <v>57</v>
      </c>
      <c r="E2852" s="62" t="s">
        <v>58</v>
      </c>
      <c r="F2852" s="62"/>
      <c r="G2852" s="64" t="s">
        <v>59</v>
      </c>
      <c r="H2852" s="73"/>
    </row>
    <row r="2853" spans="1:8" ht="17.2" customHeight="1" x14ac:dyDescent="0.3">
      <c r="A2853" s="63"/>
      <c r="B2853" s="63"/>
      <c r="C2853" s="80"/>
      <c r="D2853" s="63"/>
      <c r="E2853" s="64"/>
      <c r="F2853" s="64"/>
      <c r="G2853" s="64"/>
      <c r="H2853" s="73"/>
    </row>
    <row r="2854" spans="1:8" ht="17.2" customHeight="1" x14ac:dyDescent="0.3">
      <c r="A2854" s="63"/>
      <c r="B2854" s="63"/>
      <c r="C2854" s="81"/>
      <c r="D2854" s="63"/>
      <c r="E2854" s="64"/>
      <c r="F2854" s="64"/>
      <c r="G2854" s="64"/>
      <c r="H2854" s="73"/>
    </row>
    <row r="2855" spans="1:8" ht="17.2" customHeight="1" x14ac:dyDescent="0.3">
      <c r="A2855" s="63"/>
      <c r="B2855" s="63"/>
      <c r="C2855" s="63"/>
      <c r="D2855" s="63"/>
      <c r="E2855" s="64"/>
      <c r="F2855" s="64"/>
      <c r="G2855" s="64"/>
      <c r="H2855" s="73"/>
    </row>
    <row r="2856" spans="1:8" ht="17.2" customHeight="1" x14ac:dyDescent="0.3">
      <c r="A2856" s="70"/>
      <c r="E2856" s="71" t="s">
        <v>54</v>
      </c>
      <c r="F2856" s="71"/>
      <c r="G2856" s="71"/>
      <c r="H2856" s="119">
        <f>ROUND(SUM(G2853)+(G2854),0)</f>
        <v>0</v>
      </c>
    </row>
    <row r="2857" spans="1:8" ht="17.2" customHeight="1" x14ac:dyDescent="0.3">
      <c r="A2857" s="59"/>
      <c r="E2857" s="71"/>
      <c r="F2857" s="71"/>
      <c r="G2857" s="71"/>
      <c r="H2857" s="73"/>
    </row>
    <row r="2858" spans="1:8" ht="17.2" customHeight="1" x14ac:dyDescent="0.3">
      <c r="A2858" s="59"/>
      <c r="D2858" s="82" t="s">
        <v>60</v>
      </c>
      <c r="E2858" s="83"/>
      <c r="F2858" s="83"/>
      <c r="G2858" s="83"/>
      <c r="H2858" s="72">
        <f>ROUND(SUM(H2839:H2857),2)</f>
        <v>800050</v>
      </c>
    </row>
    <row r="2859" spans="1:8" ht="17.2" customHeight="1" x14ac:dyDescent="0.3">
      <c r="A2859" s="59"/>
      <c r="E2859" s="71"/>
      <c r="F2859" s="71"/>
      <c r="G2859" s="71"/>
      <c r="H2859" s="73"/>
    </row>
    <row r="2860" spans="1:8" ht="17.2" customHeight="1" x14ac:dyDescent="0.3">
      <c r="A2860" s="61" t="s">
        <v>61</v>
      </c>
      <c r="B2860" s="525" t="s">
        <v>62</v>
      </c>
      <c r="C2860" s="526"/>
      <c r="D2860" s="526"/>
      <c r="E2860" s="526"/>
      <c r="F2860" s="526"/>
      <c r="G2860" s="527"/>
      <c r="H2860" s="73"/>
    </row>
    <row r="2861" spans="1:8" ht="17.2" customHeight="1" x14ac:dyDescent="0.3">
      <c r="A2861" s="62"/>
      <c r="B2861" s="518" t="s">
        <v>34</v>
      </c>
      <c r="C2861" s="519"/>
      <c r="D2861" s="518" t="s">
        <v>63</v>
      </c>
      <c r="E2861" s="519"/>
      <c r="F2861" s="528" t="s">
        <v>64</v>
      </c>
      <c r="G2861" s="529"/>
      <c r="H2861" s="73"/>
    </row>
    <row r="2862" spans="1:8" ht="17.2" customHeight="1" x14ac:dyDescent="0.3">
      <c r="A2862" s="63"/>
      <c r="B2862" s="518" t="s">
        <v>20</v>
      </c>
      <c r="C2862" s="519"/>
      <c r="D2862" s="520">
        <v>0.28000000000000003</v>
      </c>
      <c r="E2862" s="519"/>
      <c r="F2862" s="521">
        <f>+H2858*D2862</f>
        <v>224014.00000000003</v>
      </c>
      <c r="G2862" s="522"/>
      <c r="H2862" s="73"/>
    </row>
    <row r="2863" spans="1:8" ht="17.2" customHeight="1" x14ac:dyDescent="0.3">
      <c r="A2863" s="63"/>
      <c r="B2863" s="518" t="s">
        <v>21</v>
      </c>
      <c r="C2863" s="519"/>
      <c r="D2863" s="520">
        <v>0.01</v>
      </c>
      <c r="E2863" s="519"/>
      <c r="F2863" s="521">
        <f>+H2858*D2863</f>
        <v>8000.5</v>
      </c>
      <c r="G2863" s="522"/>
      <c r="H2863" s="73"/>
    </row>
    <row r="2864" spans="1:8" ht="17.2" customHeight="1" x14ac:dyDescent="0.3">
      <c r="A2864" s="63"/>
      <c r="B2864" s="518" t="s">
        <v>22</v>
      </c>
      <c r="C2864" s="519"/>
      <c r="D2864" s="520">
        <v>0.03</v>
      </c>
      <c r="E2864" s="519"/>
      <c r="F2864" s="521">
        <f>+H2858*D2864</f>
        <v>24001.5</v>
      </c>
      <c r="G2864" s="522"/>
      <c r="H2864" s="73"/>
    </row>
    <row r="2865" spans="1:8" ht="17.2" customHeight="1" x14ac:dyDescent="0.3">
      <c r="A2865" s="63"/>
      <c r="B2865" s="518" t="s">
        <v>188</v>
      </c>
      <c r="C2865" s="519"/>
      <c r="D2865" s="520">
        <v>0.19</v>
      </c>
      <c r="E2865" s="519"/>
      <c r="F2865" s="521">
        <f>D2865*F2864</f>
        <v>4560.2849999999999</v>
      </c>
      <c r="G2865" s="522"/>
      <c r="H2865" s="73"/>
    </row>
    <row r="2866" spans="1:8" ht="17.2" customHeight="1" x14ac:dyDescent="0.3">
      <c r="A2866" s="59"/>
      <c r="D2866" s="82" t="s">
        <v>65</v>
      </c>
      <c r="E2866" s="83"/>
      <c r="F2866" s="83"/>
      <c r="G2866" s="83"/>
      <c r="H2866" s="72">
        <f>SUM(F2862:G2865)</f>
        <v>260576.28500000003</v>
      </c>
    </row>
    <row r="2867" spans="1:8" ht="17.2" customHeight="1" x14ac:dyDescent="0.3">
      <c r="A2867" s="59"/>
      <c r="E2867" s="71"/>
      <c r="F2867" s="71"/>
      <c r="G2867" s="71"/>
      <c r="H2867" s="73"/>
    </row>
    <row r="2868" spans="1:8" ht="17.2" customHeight="1" x14ac:dyDescent="0.3">
      <c r="A2868" s="59"/>
      <c r="D2868" s="82" t="s">
        <v>66</v>
      </c>
      <c r="E2868" s="83"/>
      <c r="F2868" s="83"/>
      <c r="G2868" s="71"/>
      <c r="H2868" s="72">
        <f>H2858+H2866</f>
        <v>1060626.2850000001</v>
      </c>
    </row>
    <row r="2869" spans="1:8" ht="17.2" customHeight="1" x14ac:dyDescent="0.3">
      <c r="A2869" s="59"/>
      <c r="D2869" s="82"/>
      <c r="E2869" s="83"/>
      <c r="F2869" s="83"/>
      <c r="G2869" s="71"/>
      <c r="H2869" s="73"/>
    </row>
    <row r="2870" spans="1:8" ht="17.2" customHeight="1" x14ac:dyDescent="0.3">
      <c r="A2870" s="59"/>
      <c r="E2870" s="83"/>
      <c r="F2870" s="83"/>
      <c r="G2870" s="71"/>
      <c r="H2870" s="73"/>
    </row>
    <row r="2871" spans="1:8" ht="17.2" customHeight="1" x14ac:dyDescent="0.3">
      <c r="A2871" s="84"/>
      <c r="B2871" s="85"/>
      <c r="E2871" s="46"/>
      <c r="F2871" s="47"/>
      <c r="G2871" s="48"/>
      <c r="H2871" s="73"/>
    </row>
    <row r="2872" spans="1:8" ht="17.2" customHeight="1" x14ac:dyDescent="0.3">
      <c r="A2872" s="86" t="s">
        <v>67</v>
      </c>
      <c r="B2872" s="50" t="s">
        <v>68</v>
      </c>
      <c r="E2872" s="49" t="s">
        <v>27</v>
      </c>
      <c r="F2872" s="50"/>
      <c r="G2872" s="50"/>
      <c r="H2872" s="87"/>
    </row>
    <row r="2873" spans="1:8" ht="17.2" customHeight="1" x14ac:dyDescent="0.3">
      <c r="A2873" s="88" t="s">
        <v>28</v>
      </c>
      <c r="B2873" s="50"/>
      <c r="E2873" s="50" t="str">
        <f ca="1">+$E$52</f>
        <v>SECRETARIO DE PLANEACION Y OBRAS PUBLICAS</v>
      </c>
      <c r="F2873" s="50"/>
      <c r="G2873" s="50"/>
      <c r="H2873" s="87"/>
    </row>
    <row r="2874" spans="1:8" ht="17.2" customHeight="1" x14ac:dyDescent="0.3">
      <c r="A2874" s="88"/>
      <c r="B2874" s="50"/>
      <c r="E2874" s="50" t="str">
        <f ca="1">+$E$53</f>
        <v>SAN MIGUEL - PUTUMAYO</v>
      </c>
      <c r="F2874" s="50"/>
      <c r="G2874" s="50"/>
      <c r="H2874" s="87"/>
    </row>
    <row r="2876" spans="1:8" ht="17.2" customHeight="1" x14ac:dyDescent="0.3">
      <c r="A2876" s="556"/>
      <c r="B2876" s="557"/>
      <c r="C2876" s="380" t="s">
        <v>2</v>
      </c>
      <c r="D2876" s="382" t="s">
        <v>3</v>
      </c>
      <c r="E2876" s="383"/>
      <c r="F2876" s="1">
        <v>103</v>
      </c>
      <c r="G2876" s="548"/>
      <c r="H2876" s="549"/>
    </row>
    <row r="2877" spans="1:8" ht="17.2" customHeight="1" x14ac:dyDescent="0.3">
      <c r="A2877" s="558"/>
      <c r="B2877" s="559"/>
      <c r="C2877" s="381"/>
      <c r="D2877" s="396" t="s">
        <v>4</v>
      </c>
      <c r="E2877" s="397"/>
      <c r="F2877" s="400">
        <v>51</v>
      </c>
      <c r="G2877" s="550"/>
      <c r="H2877" s="551"/>
    </row>
    <row r="2878" spans="1:8" ht="17.2" customHeight="1" x14ac:dyDescent="0.3">
      <c r="A2878" s="558"/>
      <c r="B2878" s="559"/>
      <c r="C2878" s="5" t="s">
        <v>5</v>
      </c>
      <c r="D2878" s="398"/>
      <c r="E2878" s="399"/>
      <c r="F2878" s="401"/>
      <c r="G2878" s="550"/>
      <c r="H2878" s="551"/>
    </row>
    <row r="2879" spans="1:8" ht="18.2" customHeight="1" x14ac:dyDescent="0.3">
      <c r="A2879" s="558"/>
      <c r="B2879" s="559"/>
      <c r="C2879" s="55" t="s">
        <v>6</v>
      </c>
      <c r="D2879" s="402" t="s">
        <v>7</v>
      </c>
      <c r="E2879" s="403"/>
      <c r="F2879" s="7">
        <v>1</v>
      </c>
      <c r="G2879" s="550"/>
      <c r="H2879" s="551"/>
    </row>
    <row r="2880" spans="1:8" ht="18.2" customHeight="1" x14ac:dyDescent="0.3">
      <c r="A2880" s="558"/>
      <c r="B2880" s="559"/>
      <c r="C2880" s="530" t="s">
        <v>8</v>
      </c>
      <c r="D2880" s="532" t="s">
        <v>9</v>
      </c>
      <c r="E2880" s="533"/>
      <c r="F2880" s="5" t="s">
        <v>10</v>
      </c>
      <c r="G2880" s="550"/>
      <c r="H2880" s="551"/>
    </row>
    <row r="2881" spans="1:8" ht="18.2" customHeight="1" x14ac:dyDescent="0.3">
      <c r="A2881" s="560"/>
      <c r="B2881" s="561"/>
      <c r="C2881" s="531"/>
      <c r="D2881" s="534"/>
      <c r="E2881" s="535"/>
      <c r="F2881" s="8">
        <f>$F$6</f>
        <v>45402</v>
      </c>
      <c r="G2881" s="552"/>
      <c r="H2881" s="553"/>
    </row>
    <row r="2882" spans="1:8" ht="18.2" customHeight="1" thickBot="1" x14ac:dyDescent="0.35">
      <c r="A2882" s="536"/>
      <c r="B2882" s="537"/>
      <c r="C2882" s="537"/>
      <c r="D2882" s="537"/>
      <c r="E2882" s="537"/>
      <c r="F2882" s="537"/>
      <c r="G2882" s="537"/>
      <c r="H2882" s="538"/>
    </row>
    <row r="2883" spans="1:8" ht="18.2" customHeight="1" thickBot="1" x14ac:dyDescent="0.35">
      <c r="A2883" s="92">
        <v>7.8</v>
      </c>
      <c r="B2883" s="539" t="str">
        <f>PRESUPUESTO!B80</f>
        <v>Suministro e instalación de pasamanos en acero inoxidable AISI 304con anclaje lateral a muro</v>
      </c>
      <c r="C2883" s="540"/>
      <c r="D2883" s="540"/>
      <c r="E2883" s="540"/>
      <c r="F2883" s="541"/>
      <c r="G2883" s="57" t="s">
        <v>31</v>
      </c>
      <c r="H2883" s="58" t="str">
        <f>PRESUPUESTO!D80</f>
        <v>ML</v>
      </c>
    </row>
    <row r="2884" spans="1:8" ht="18.2" customHeight="1" x14ac:dyDescent="0.3">
      <c r="A2884" s="59"/>
      <c r="H2884" s="60"/>
    </row>
    <row r="2885" spans="1:8" ht="18.2" customHeight="1" x14ac:dyDescent="0.3">
      <c r="A2885" s="61" t="s">
        <v>32</v>
      </c>
      <c r="B2885" s="525" t="s">
        <v>33</v>
      </c>
      <c r="C2885" s="526"/>
      <c r="D2885" s="526"/>
      <c r="E2885" s="526"/>
      <c r="F2885" s="526"/>
      <c r="G2885" s="527"/>
      <c r="H2885" s="60"/>
    </row>
    <row r="2886" spans="1:8" ht="18.2" customHeight="1" x14ac:dyDescent="0.3">
      <c r="A2886" s="62"/>
      <c r="B2886" s="518" t="s">
        <v>34</v>
      </c>
      <c r="C2886" s="519"/>
      <c r="D2886" s="62" t="s">
        <v>35</v>
      </c>
      <c r="E2886" s="62" t="s">
        <v>69</v>
      </c>
      <c r="F2886" s="62" t="s">
        <v>70</v>
      </c>
      <c r="G2886" s="62" t="s">
        <v>38</v>
      </c>
      <c r="H2886" s="60"/>
    </row>
    <row r="2887" spans="1:8" ht="18.2" customHeight="1" x14ac:dyDescent="0.3">
      <c r="A2887" s="63"/>
      <c r="B2887" s="542" t="s">
        <v>39</v>
      </c>
      <c r="C2887" s="543"/>
      <c r="D2887" s="62"/>
      <c r="E2887" s="64"/>
      <c r="F2887" s="74">
        <v>0.1</v>
      </c>
      <c r="G2887" s="65">
        <f>H2902*F2887</f>
        <v>9800</v>
      </c>
      <c r="H2887" s="66"/>
    </row>
    <row r="2888" spans="1:8" ht="18.2" customHeight="1" x14ac:dyDescent="0.3">
      <c r="A2888" s="63"/>
      <c r="B2888" s="542" t="s">
        <v>362</v>
      </c>
      <c r="C2888" s="543"/>
      <c r="D2888" s="62" t="s">
        <v>363</v>
      </c>
      <c r="E2888" s="64">
        <v>60000</v>
      </c>
      <c r="F2888" s="74">
        <v>0.05</v>
      </c>
      <c r="G2888" s="65">
        <f>F2888*E2888</f>
        <v>3000</v>
      </c>
      <c r="H2888" s="66"/>
    </row>
    <row r="2889" spans="1:8" ht="18.2" customHeight="1" x14ac:dyDescent="0.3">
      <c r="A2889" s="63"/>
      <c r="B2889" s="542" t="s">
        <v>456</v>
      </c>
      <c r="C2889" s="543"/>
      <c r="D2889" s="62" t="s">
        <v>363</v>
      </c>
      <c r="E2889" s="64">
        <v>150000</v>
      </c>
      <c r="F2889" s="74">
        <v>0.1</v>
      </c>
      <c r="G2889" s="65">
        <f>F2889*E2889</f>
        <v>15000</v>
      </c>
      <c r="H2889" s="66"/>
    </row>
    <row r="2890" spans="1:8" ht="18.2" customHeight="1" x14ac:dyDescent="0.3">
      <c r="A2890" s="63"/>
      <c r="B2890" s="542" t="s">
        <v>455</v>
      </c>
      <c r="C2890" s="543"/>
      <c r="D2890" s="62" t="s">
        <v>363</v>
      </c>
      <c r="E2890" s="64">
        <v>45000</v>
      </c>
      <c r="F2890" s="74">
        <v>0.05</v>
      </c>
      <c r="G2890" s="65">
        <f>F2890*E2890</f>
        <v>2250</v>
      </c>
      <c r="H2890" s="66"/>
    </row>
    <row r="2891" spans="1:8" ht="18.2" customHeight="1" x14ac:dyDescent="0.3">
      <c r="A2891" s="59"/>
      <c r="E2891" s="71" t="s">
        <v>40</v>
      </c>
      <c r="F2891" s="71"/>
      <c r="G2891" s="71"/>
      <c r="H2891" s="72">
        <f>ROUND(SUM(G2887:G2890),2)</f>
        <v>30050</v>
      </c>
    </row>
    <row r="2892" spans="1:8" ht="18.2" customHeight="1" x14ac:dyDescent="0.3">
      <c r="A2892" s="61" t="s">
        <v>41</v>
      </c>
      <c r="B2892" s="525" t="s">
        <v>42</v>
      </c>
      <c r="C2892" s="526"/>
      <c r="D2892" s="526"/>
      <c r="E2892" s="526"/>
      <c r="F2892" s="526"/>
      <c r="G2892" s="527"/>
      <c r="H2892" s="73"/>
    </row>
    <row r="2893" spans="1:8" ht="18.2" customHeight="1" x14ac:dyDescent="0.3">
      <c r="A2893" s="62"/>
      <c r="B2893" s="518" t="s">
        <v>34</v>
      </c>
      <c r="C2893" s="519"/>
      <c r="D2893" s="63" t="s">
        <v>43</v>
      </c>
      <c r="E2893" s="74" t="s">
        <v>44</v>
      </c>
      <c r="F2893" s="74" t="s">
        <v>45</v>
      </c>
      <c r="G2893" s="74" t="s">
        <v>38</v>
      </c>
      <c r="H2893" s="73"/>
    </row>
    <row r="2894" spans="1:8" ht="18.2" customHeight="1" x14ac:dyDescent="0.3">
      <c r="A2894" s="63"/>
      <c r="B2894" s="564" t="s">
        <v>366</v>
      </c>
      <c r="C2894" s="565"/>
      <c r="D2894" s="281" t="s">
        <v>211</v>
      </c>
      <c r="E2894" s="94">
        <v>1.05</v>
      </c>
      <c r="F2894" s="30">
        <v>260000</v>
      </c>
      <c r="G2894" s="282">
        <f>ROUND((E2894*F2894),2)</f>
        <v>273000</v>
      </c>
      <c r="H2894" s="73"/>
    </row>
    <row r="2895" spans="1:8" ht="18.2" customHeight="1" x14ac:dyDescent="0.3">
      <c r="A2895" s="63"/>
      <c r="B2895" s="546"/>
      <c r="C2895" s="547"/>
      <c r="D2895" s="270"/>
      <c r="E2895" s="94"/>
      <c r="F2895" s="95"/>
      <c r="G2895" s="67"/>
      <c r="H2895" s="73"/>
    </row>
    <row r="2896" spans="1:8" ht="18.2" customHeight="1" x14ac:dyDescent="0.3">
      <c r="A2896" s="70" t="s">
        <v>46</v>
      </c>
      <c r="E2896" s="71" t="s">
        <v>47</v>
      </c>
      <c r="F2896" s="71"/>
      <c r="G2896" s="71"/>
      <c r="H2896" s="76">
        <f>ROUND(SUM(G2894:G2895),2)</f>
        <v>273000</v>
      </c>
    </row>
    <row r="2897" spans="1:8" ht="18.2" customHeight="1" x14ac:dyDescent="0.3">
      <c r="A2897" s="61" t="s">
        <v>48</v>
      </c>
      <c r="B2897" s="525" t="s">
        <v>49</v>
      </c>
      <c r="C2897" s="526"/>
      <c r="D2897" s="526"/>
      <c r="E2897" s="526"/>
      <c r="F2897" s="526"/>
      <c r="G2897" s="527"/>
      <c r="H2897" s="73"/>
    </row>
    <row r="2898" spans="1:8" ht="18.2" customHeight="1" x14ac:dyDescent="0.3">
      <c r="A2898" s="62" t="s">
        <v>50</v>
      </c>
      <c r="B2898" s="62" t="s">
        <v>34</v>
      </c>
      <c r="C2898" s="62" t="s">
        <v>51</v>
      </c>
      <c r="D2898" s="62" t="s">
        <v>52</v>
      </c>
      <c r="E2898" s="74" t="s">
        <v>53</v>
      </c>
      <c r="F2898" s="64" t="s">
        <v>260</v>
      </c>
      <c r="G2898" s="64" t="s">
        <v>38</v>
      </c>
      <c r="H2898" s="73"/>
    </row>
    <row r="2899" spans="1:8" ht="18.2" customHeight="1" x14ac:dyDescent="0.3">
      <c r="A2899" s="62">
        <v>2</v>
      </c>
      <c r="B2899" s="63" t="s">
        <v>365</v>
      </c>
      <c r="C2899" s="77">
        <v>70000</v>
      </c>
      <c r="D2899" s="78">
        <v>0.75</v>
      </c>
      <c r="E2899" s="81">
        <f>+(A2899*C2899)+(A2899*C2899*D2899)</f>
        <v>245000</v>
      </c>
      <c r="F2899" s="340">
        <v>5</v>
      </c>
      <c r="G2899" s="65">
        <f>(E2899)/(F2899)</f>
        <v>49000</v>
      </c>
      <c r="H2899" s="73"/>
    </row>
    <row r="2900" spans="1:8" ht="18.2" customHeight="1" x14ac:dyDescent="0.3">
      <c r="A2900" s="62">
        <v>1</v>
      </c>
      <c r="B2900" s="63" t="s">
        <v>454</v>
      </c>
      <c r="C2900" s="77">
        <v>140000</v>
      </c>
      <c r="D2900" s="78">
        <v>0.75</v>
      </c>
      <c r="E2900" s="81">
        <f>+(A2900*C2900)+(A2900*C2900*D2900)</f>
        <v>245000</v>
      </c>
      <c r="F2900" s="340">
        <v>5</v>
      </c>
      <c r="G2900" s="65">
        <f>(E2900)/(F2900)</f>
        <v>49000</v>
      </c>
      <c r="H2900" s="73"/>
    </row>
    <row r="2901" spans="1:8" ht="18.2" customHeight="1" x14ac:dyDescent="0.3">
      <c r="A2901" s="63"/>
      <c r="B2901" s="63"/>
      <c r="C2901" s="63"/>
      <c r="D2901" s="63"/>
      <c r="E2901" s="64"/>
      <c r="F2901" s="64"/>
      <c r="G2901" s="64"/>
      <c r="H2901" s="73"/>
    </row>
    <row r="2902" spans="1:8" ht="18.2" customHeight="1" x14ac:dyDescent="0.3">
      <c r="A2902" s="70"/>
      <c r="E2902" s="71" t="s">
        <v>54</v>
      </c>
      <c r="F2902" s="71"/>
      <c r="G2902" s="71"/>
      <c r="H2902" s="72">
        <f>ROUND(SUM(G2899)+(G2900),2)</f>
        <v>98000</v>
      </c>
    </row>
    <row r="2903" spans="1:8" ht="18.2" customHeight="1" x14ac:dyDescent="0.3">
      <c r="A2903" s="61" t="s">
        <v>55</v>
      </c>
      <c r="B2903" s="525" t="s">
        <v>56</v>
      </c>
      <c r="C2903" s="526"/>
      <c r="D2903" s="526"/>
      <c r="E2903" s="526"/>
      <c r="F2903" s="526"/>
      <c r="G2903" s="527"/>
      <c r="H2903" s="73"/>
    </row>
    <row r="2904" spans="1:8" ht="18.2" customHeight="1" x14ac:dyDescent="0.3">
      <c r="A2904" s="63"/>
      <c r="B2904" s="63" t="s">
        <v>34</v>
      </c>
      <c r="C2904" s="62" t="s">
        <v>43</v>
      </c>
      <c r="D2904" s="62" t="s">
        <v>57</v>
      </c>
      <c r="E2904" s="62" t="s">
        <v>58</v>
      </c>
      <c r="F2904" s="62"/>
      <c r="G2904" s="64" t="s">
        <v>59</v>
      </c>
      <c r="H2904" s="73"/>
    </row>
    <row r="2905" spans="1:8" ht="18.2" customHeight="1" x14ac:dyDescent="0.3">
      <c r="A2905" s="63"/>
      <c r="B2905" s="63"/>
      <c r="C2905" s="80"/>
      <c r="D2905" s="63"/>
      <c r="E2905" s="64"/>
      <c r="F2905" s="64"/>
      <c r="G2905" s="64"/>
      <c r="H2905" s="73"/>
    </row>
    <row r="2906" spans="1:8" ht="18.2" customHeight="1" x14ac:dyDescent="0.3">
      <c r="A2906" s="63"/>
      <c r="B2906" s="63"/>
      <c r="C2906" s="81"/>
      <c r="D2906" s="63"/>
      <c r="E2906" s="64"/>
      <c r="F2906" s="64"/>
      <c r="G2906" s="64"/>
      <c r="H2906" s="73"/>
    </row>
    <row r="2907" spans="1:8" ht="18.2" customHeight="1" x14ac:dyDescent="0.3">
      <c r="A2907" s="63"/>
      <c r="B2907" s="63"/>
      <c r="C2907" s="63"/>
      <c r="D2907" s="63"/>
      <c r="E2907" s="64"/>
      <c r="F2907" s="64"/>
      <c r="G2907" s="64"/>
      <c r="H2907" s="73"/>
    </row>
    <row r="2908" spans="1:8" ht="18.2" customHeight="1" x14ac:dyDescent="0.3">
      <c r="A2908" s="70"/>
      <c r="E2908" s="71" t="s">
        <v>54</v>
      </c>
      <c r="F2908" s="71"/>
      <c r="G2908" s="71"/>
      <c r="H2908" s="119">
        <f>ROUND(SUM(G2905)+(G2906),0)</f>
        <v>0</v>
      </c>
    </row>
    <row r="2909" spans="1:8" ht="18.2" customHeight="1" x14ac:dyDescent="0.3">
      <c r="A2909" s="59"/>
      <c r="E2909" s="71"/>
      <c r="F2909" s="71"/>
      <c r="G2909" s="71"/>
      <c r="H2909" s="73"/>
    </row>
    <row r="2910" spans="1:8" ht="18.2" customHeight="1" x14ac:dyDescent="0.3">
      <c r="A2910" s="59"/>
      <c r="D2910" s="82" t="s">
        <v>60</v>
      </c>
      <c r="E2910" s="83"/>
      <c r="F2910" s="83"/>
      <c r="G2910" s="83"/>
      <c r="H2910" s="72">
        <f>ROUND(SUM(H2891:H2909),2)</f>
        <v>401050</v>
      </c>
    </row>
    <row r="2911" spans="1:8" ht="18.2" customHeight="1" x14ac:dyDescent="0.3">
      <c r="A2911" s="59"/>
      <c r="E2911" s="71"/>
      <c r="F2911" s="71"/>
      <c r="G2911" s="71"/>
      <c r="H2911" s="73"/>
    </row>
    <row r="2912" spans="1:8" ht="18.2" customHeight="1" x14ac:dyDescent="0.3">
      <c r="A2912" s="61" t="s">
        <v>61</v>
      </c>
      <c r="B2912" s="525" t="s">
        <v>62</v>
      </c>
      <c r="C2912" s="526"/>
      <c r="D2912" s="526"/>
      <c r="E2912" s="526"/>
      <c r="F2912" s="526"/>
      <c r="G2912" s="527"/>
      <c r="H2912" s="73"/>
    </row>
    <row r="2913" spans="1:8" ht="18.2" customHeight="1" x14ac:dyDescent="0.3">
      <c r="A2913" s="62"/>
      <c r="B2913" s="518" t="s">
        <v>34</v>
      </c>
      <c r="C2913" s="519"/>
      <c r="D2913" s="518" t="s">
        <v>63</v>
      </c>
      <c r="E2913" s="519"/>
      <c r="F2913" s="528" t="s">
        <v>64</v>
      </c>
      <c r="G2913" s="529"/>
      <c r="H2913" s="73"/>
    </row>
    <row r="2914" spans="1:8" ht="18.2" customHeight="1" x14ac:dyDescent="0.3">
      <c r="A2914" s="63"/>
      <c r="B2914" s="518" t="s">
        <v>20</v>
      </c>
      <c r="C2914" s="519"/>
      <c r="D2914" s="520">
        <v>0.28000000000000003</v>
      </c>
      <c r="E2914" s="519"/>
      <c r="F2914" s="521">
        <f>+H2910*D2914</f>
        <v>112294.00000000001</v>
      </c>
      <c r="G2914" s="522"/>
      <c r="H2914" s="73"/>
    </row>
    <row r="2915" spans="1:8" ht="18.2" customHeight="1" x14ac:dyDescent="0.3">
      <c r="A2915" s="63"/>
      <c r="B2915" s="518" t="s">
        <v>21</v>
      </c>
      <c r="C2915" s="519"/>
      <c r="D2915" s="520">
        <v>0.01</v>
      </c>
      <c r="E2915" s="519"/>
      <c r="F2915" s="521">
        <f>+H2910*D2915</f>
        <v>4010.5</v>
      </c>
      <c r="G2915" s="522"/>
      <c r="H2915" s="73"/>
    </row>
    <row r="2916" spans="1:8" ht="18.2" customHeight="1" x14ac:dyDescent="0.3">
      <c r="A2916" s="63"/>
      <c r="B2916" s="518" t="s">
        <v>22</v>
      </c>
      <c r="C2916" s="519"/>
      <c r="D2916" s="520">
        <v>0.03</v>
      </c>
      <c r="E2916" s="519"/>
      <c r="F2916" s="521">
        <f>+H2910*D2916</f>
        <v>12031.5</v>
      </c>
      <c r="G2916" s="522"/>
      <c r="H2916" s="73"/>
    </row>
    <row r="2917" spans="1:8" ht="18.2" customHeight="1" x14ac:dyDescent="0.3">
      <c r="A2917" s="63"/>
      <c r="B2917" s="518" t="s">
        <v>188</v>
      </c>
      <c r="C2917" s="519"/>
      <c r="D2917" s="520">
        <v>0.19</v>
      </c>
      <c r="E2917" s="519"/>
      <c r="F2917" s="521">
        <f>D2917*F2916</f>
        <v>2285.9850000000001</v>
      </c>
      <c r="G2917" s="522"/>
      <c r="H2917" s="73"/>
    </row>
    <row r="2918" spans="1:8" ht="18.2" customHeight="1" x14ac:dyDescent="0.3">
      <c r="A2918" s="59"/>
      <c r="D2918" s="82" t="s">
        <v>65</v>
      </c>
      <c r="E2918" s="83"/>
      <c r="F2918" s="83"/>
      <c r="G2918" s="83"/>
      <c r="H2918" s="72">
        <f>SUM(F2914:G2917)</f>
        <v>130621.98500000002</v>
      </c>
    </row>
    <row r="2919" spans="1:8" ht="18.2" customHeight="1" x14ac:dyDescent="0.3">
      <c r="A2919" s="59"/>
      <c r="E2919" s="71"/>
      <c r="F2919" s="71"/>
      <c r="G2919" s="71"/>
      <c r="H2919" s="73"/>
    </row>
    <row r="2920" spans="1:8" ht="17.2" customHeight="1" x14ac:dyDescent="0.3">
      <c r="A2920" s="59"/>
      <c r="D2920" s="82" t="s">
        <v>66</v>
      </c>
      <c r="E2920" s="83"/>
      <c r="F2920" s="83"/>
      <c r="G2920" s="71"/>
      <c r="H2920" s="72">
        <f>H2910+H2918</f>
        <v>531671.98499999999</v>
      </c>
    </row>
    <row r="2921" spans="1:8" ht="17.2" customHeight="1" x14ac:dyDescent="0.3">
      <c r="A2921" s="59"/>
      <c r="D2921" s="82"/>
      <c r="E2921" s="83"/>
      <c r="F2921" s="83"/>
      <c r="G2921" s="71"/>
      <c r="H2921" s="73"/>
    </row>
    <row r="2922" spans="1:8" ht="17.2" customHeight="1" x14ac:dyDescent="0.3">
      <c r="A2922" s="59"/>
      <c r="E2922" s="83"/>
      <c r="F2922" s="83"/>
      <c r="G2922" s="71"/>
      <c r="H2922" s="73"/>
    </row>
    <row r="2923" spans="1:8" ht="17.2" customHeight="1" x14ac:dyDescent="0.3">
      <c r="A2923" s="84"/>
      <c r="B2923" s="85"/>
      <c r="E2923" s="46"/>
      <c r="F2923" s="47"/>
      <c r="G2923" s="48"/>
      <c r="H2923" s="73"/>
    </row>
    <row r="2924" spans="1:8" ht="17.2" customHeight="1" x14ac:dyDescent="0.3">
      <c r="A2924" s="86" t="s">
        <v>67</v>
      </c>
      <c r="B2924" s="50" t="s">
        <v>68</v>
      </c>
      <c r="E2924" s="49" t="s">
        <v>27</v>
      </c>
      <c r="F2924" s="50"/>
      <c r="G2924" s="50"/>
      <c r="H2924" s="87"/>
    </row>
    <row r="2925" spans="1:8" ht="17.2" customHeight="1" x14ac:dyDescent="0.3">
      <c r="A2925" s="88" t="s">
        <v>28</v>
      </c>
      <c r="B2925" s="50"/>
      <c r="E2925" s="50" t="str">
        <f ca="1">+$E$52</f>
        <v>SECRETARIO DE PLANEACION Y OBRAS PUBLICAS</v>
      </c>
      <c r="F2925" s="50"/>
      <c r="G2925" s="50"/>
      <c r="H2925" s="87"/>
    </row>
    <row r="2926" spans="1:8" ht="17.2" customHeight="1" x14ac:dyDescent="0.3">
      <c r="A2926" s="89"/>
      <c r="B2926" s="90"/>
      <c r="C2926" s="85"/>
      <c r="D2926" s="85"/>
      <c r="E2926" s="90" t="str">
        <f ca="1">+$E$53</f>
        <v>SAN MIGUEL - PUTUMAYO</v>
      </c>
      <c r="F2926" s="90"/>
      <c r="G2926" s="90"/>
      <c r="H2926" s="91"/>
    </row>
    <row r="2927" spans="1:8" ht="17.2" customHeight="1" x14ac:dyDescent="0.3">
      <c r="A2927" s="50"/>
      <c r="B2927" s="50"/>
      <c r="E2927" s="50"/>
      <c r="F2927" s="50"/>
      <c r="G2927" s="50"/>
      <c r="H2927" s="50"/>
    </row>
    <row r="2928" spans="1:8" ht="17.2" customHeight="1" x14ac:dyDescent="0.3">
      <c r="A2928" s="50"/>
      <c r="B2928" s="50"/>
      <c r="E2928" s="50"/>
      <c r="F2928" s="50"/>
      <c r="G2928" s="50"/>
      <c r="H2928" s="50"/>
    </row>
    <row r="2929" spans="1:8" ht="17.2" customHeight="1" x14ac:dyDescent="0.3">
      <c r="A2929" s="50"/>
      <c r="B2929" s="50"/>
      <c r="E2929" s="50"/>
      <c r="F2929" s="50"/>
      <c r="G2929" s="50"/>
      <c r="H2929" s="50"/>
    </row>
    <row r="2930" spans="1:8" ht="17.2" customHeight="1" x14ac:dyDescent="0.3">
      <c r="A2930" s="50"/>
      <c r="B2930" s="50"/>
      <c r="E2930" s="50"/>
      <c r="F2930" s="50"/>
      <c r="G2930" s="50"/>
      <c r="H2930" s="50"/>
    </row>
    <row r="2931" spans="1:8" ht="17.2" customHeight="1" x14ac:dyDescent="0.3">
      <c r="A2931" s="50"/>
      <c r="B2931" s="50"/>
      <c r="E2931" s="50"/>
      <c r="F2931" s="50"/>
      <c r="G2931" s="50"/>
      <c r="H2931" s="50"/>
    </row>
    <row r="2932" spans="1:8" ht="17.2" customHeight="1" x14ac:dyDescent="0.3">
      <c r="A2932" s="50"/>
      <c r="B2932" s="50"/>
      <c r="E2932" s="50"/>
      <c r="F2932" s="50"/>
      <c r="G2932" s="50"/>
      <c r="H2932" s="50"/>
    </row>
    <row r="2933" spans="1:8" ht="17.2" customHeight="1" x14ac:dyDescent="0.3">
      <c r="A2933" s="50"/>
      <c r="B2933" s="50"/>
      <c r="E2933" s="50"/>
      <c r="F2933" s="50"/>
      <c r="G2933" s="50"/>
      <c r="H2933" s="50"/>
    </row>
    <row r="2934" spans="1:8" ht="17.2" customHeight="1" x14ac:dyDescent="0.3">
      <c r="A2934" s="50"/>
      <c r="B2934" s="50"/>
      <c r="E2934" s="50"/>
      <c r="F2934" s="50"/>
      <c r="G2934" s="50"/>
      <c r="H2934" s="50"/>
    </row>
    <row r="2935" spans="1:8" ht="17.2" customHeight="1" x14ac:dyDescent="0.3">
      <c r="A2935" s="50"/>
      <c r="B2935" s="50"/>
      <c r="E2935" s="50"/>
      <c r="F2935" s="50"/>
      <c r="G2935" s="50"/>
      <c r="H2935" s="50"/>
    </row>
    <row r="2936" spans="1:8" ht="17.2" customHeight="1" x14ac:dyDescent="0.3">
      <c r="A2936" s="50"/>
      <c r="B2936" s="50"/>
      <c r="E2936" s="50"/>
      <c r="F2936" s="50"/>
      <c r="G2936" s="50"/>
      <c r="H2936" s="50"/>
    </row>
    <row r="2937" spans="1:8" ht="17.2" customHeight="1" x14ac:dyDescent="0.3">
      <c r="A2937" s="50"/>
      <c r="B2937" s="50"/>
      <c r="E2937" s="50"/>
      <c r="F2937" s="50"/>
      <c r="G2937" s="50"/>
      <c r="H2937" s="50"/>
    </row>
    <row r="2938" spans="1:8" ht="17.2" customHeight="1" x14ac:dyDescent="0.3">
      <c r="A2938" s="50"/>
      <c r="B2938" s="50"/>
      <c r="E2938" s="50"/>
      <c r="F2938" s="50"/>
      <c r="G2938" s="50"/>
      <c r="H2938" s="50"/>
    </row>
    <row r="2939" spans="1:8" ht="17.2" customHeight="1" x14ac:dyDescent="0.3">
      <c r="A2939" s="50"/>
      <c r="B2939" s="50"/>
      <c r="E2939" s="50"/>
      <c r="F2939" s="50"/>
      <c r="G2939" s="50"/>
      <c r="H2939" s="50"/>
    </row>
    <row r="2940" spans="1:8" ht="17.2" customHeight="1" x14ac:dyDescent="0.3">
      <c r="A2940" s="50"/>
      <c r="B2940" s="50"/>
      <c r="E2940" s="50"/>
      <c r="F2940" s="50"/>
      <c r="G2940" s="50"/>
      <c r="H2940" s="50"/>
    </row>
    <row r="2941" spans="1:8" ht="17.2" customHeight="1" x14ac:dyDescent="0.3">
      <c r="A2941" s="50"/>
      <c r="B2941" s="50"/>
      <c r="E2941" s="50"/>
      <c r="F2941" s="50"/>
      <c r="G2941" s="50"/>
      <c r="H2941" s="50"/>
    </row>
    <row r="2942" spans="1:8" ht="17.2" customHeight="1" x14ac:dyDescent="0.3">
      <c r="A2942" s="50"/>
      <c r="B2942" s="50"/>
      <c r="E2942" s="50"/>
      <c r="F2942" s="50"/>
      <c r="G2942" s="50"/>
      <c r="H2942" s="50"/>
    </row>
    <row r="2943" spans="1:8" ht="17.2" customHeight="1" x14ac:dyDescent="0.3">
      <c r="A2943" s="50"/>
      <c r="B2943" s="50"/>
      <c r="E2943" s="50"/>
      <c r="F2943" s="50"/>
      <c r="G2943" s="50"/>
      <c r="H2943" s="50"/>
    </row>
    <row r="2944" spans="1:8" ht="17.2" customHeight="1" x14ac:dyDescent="0.3">
      <c r="A2944" s="50"/>
      <c r="B2944" s="50"/>
      <c r="E2944" s="50"/>
      <c r="F2944" s="50"/>
      <c r="G2944" s="50"/>
      <c r="H2944" s="50"/>
    </row>
    <row r="2945" spans="1:8" ht="17.2" customHeight="1" x14ac:dyDescent="0.3">
      <c r="A2945" s="50"/>
      <c r="B2945" s="50"/>
      <c r="E2945" s="50"/>
      <c r="F2945" s="50"/>
      <c r="G2945" s="50"/>
      <c r="H2945" s="50"/>
    </row>
    <row r="2946" spans="1:8" ht="17.2" customHeight="1" x14ac:dyDescent="0.3">
      <c r="A2946" s="50"/>
      <c r="B2946" s="50"/>
      <c r="E2946" s="50"/>
      <c r="F2946" s="50"/>
      <c r="G2946" s="50"/>
      <c r="H2946" s="50"/>
    </row>
    <row r="2947" spans="1:8" ht="17.2" customHeight="1" x14ac:dyDescent="0.3">
      <c r="A2947" s="50"/>
      <c r="B2947" s="50"/>
      <c r="E2947" s="50"/>
      <c r="F2947" s="50"/>
      <c r="G2947" s="50"/>
      <c r="H2947" s="50"/>
    </row>
    <row r="2948" spans="1:8" ht="17.2" customHeight="1" x14ac:dyDescent="0.3">
      <c r="A2948" s="50"/>
      <c r="B2948" s="50"/>
      <c r="E2948" s="50"/>
      <c r="F2948" s="50"/>
      <c r="G2948" s="50"/>
      <c r="H2948" s="50"/>
    </row>
    <row r="2949" spans="1:8" ht="17.2" customHeight="1" x14ac:dyDescent="0.3">
      <c r="A2949" s="50"/>
      <c r="B2949" s="50"/>
      <c r="E2949" s="50"/>
      <c r="F2949" s="50"/>
      <c r="G2949" s="50"/>
      <c r="H2949" s="50"/>
    </row>
    <row r="2950" spans="1:8" ht="17.2" customHeight="1" x14ac:dyDescent="0.3">
      <c r="A2950" s="50"/>
      <c r="B2950" s="50"/>
      <c r="E2950" s="50"/>
      <c r="F2950" s="50"/>
      <c r="G2950" s="50"/>
      <c r="H2950" s="50"/>
    </row>
    <row r="2951" spans="1:8" ht="17.2" customHeight="1" x14ac:dyDescent="0.3">
      <c r="A2951" s="50"/>
      <c r="B2951" s="50"/>
      <c r="E2951" s="50"/>
      <c r="F2951" s="50"/>
      <c r="G2951" s="50"/>
      <c r="H2951" s="50"/>
    </row>
    <row r="2952" spans="1:8" ht="17.2" customHeight="1" x14ac:dyDescent="0.3">
      <c r="A2952" s="50"/>
      <c r="B2952" s="50"/>
      <c r="E2952" s="50"/>
      <c r="F2952" s="50"/>
      <c r="G2952" s="50"/>
      <c r="H2952" s="50"/>
    </row>
    <row r="2953" spans="1:8" ht="17.2" customHeight="1" x14ac:dyDescent="0.3">
      <c r="A2953" s="50"/>
      <c r="B2953" s="50"/>
      <c r="E2953" s="50"/>
      <c r="F2953" s="50"/>
      <c r="G2953" s="50"/>
      <c r="H2953" s="50"/>
    </row>
    <row r="2954" spans="1:8" ht="17.2" customHeight="1" x14ac:dyDescent="0.3">
      <c r="A2954" s="50"/>
      <c r="B2954" s="50"/>
      <c r="E2954" s="50"/>
      <c r="F2954" s="50"/>
      <c r="G2954" s="50"/>
      <c r="H2954" s="50"/>
    </row>
    <row r="2955" spans="1:8" ht="17.2" customHeight="1" x14ac:dyDescent="0.3">
      <c r="A2955" s="50"/>
      <c r="B2955" s="50"/>
      <c r="E2955" s="50"/>
      <c r="F2955" s="50"/>
      <c r="G2955" s="50"/>
      <c r="H2955" s="50"/>
    </row>
    <row r="2956" spans="1:8" ht="17.2" customHeight="1" x14ac:dyDescent="0.3">
      <c r="A2956" s="50"/>
      <c r="B2956" s="50"/>
      <c r="E2956" s="50"/>
      <c r="F2956" s="50"/>
      <c r="G2956" s="50"/>
      <c r="H2956" s="50"/>
    </row>
    <row r="2957" spans="1:8" ht="17.2" customHeight="1" x14ac:dyDescent="0.3">
      <c r="A2957" s="50"/>
      <c r="B2957" s="50"/>
      <c r="E2957" s="50"/>
      <c r="F2957" s="50"/>
      <c r="G2957" s="50"/>
      <c r="H2957" s="50"/>
    </row>
    <row r="2958" spans="1:8" ht="17.2" customHeight="1" x14ac:dyDescent="0.3">
      <c r="A2958" s="50"/>
      <c r="B2958" s="50"/>
      <c r="E2958" s="50"/>
      <c r="F2958" s="50"/>
      <c r="G2958" s="50"/>
      <c r="H2958" s="50"/>
    </row>
    <row r="2959" spans="1:8" ht="17.2" customHeight="1" x14ac:dyDescent="0.3">
      <c r="A2959" s="50"/>
      <c r="B2959" s="50"/>
      <c r="E2959" s="50"/>
      <c r="F2959" s="50"/>
      <c r="G2959" s="50"/>
      <c r="H2959" s="50"/>
    </row>
    <row r="2960" spans="1:8" ht="17.2" customHeight="1" x14ac:dyDescent="0.3">
      <c r="A2960" s="50"/>
      <c r="B2960" s="50"/>
      <c r="E2960" s="50"/>
      <c r="F2960" s="50"/>
      <c r="G2960" s="50"/>
      <c r="H2960" s="50"/>
    </row>
    <row r="2961" spans="1:8" ht="17.2" customHeight="1" x14ac:dyDescent="0.3">
      <c r="A2961" s="50"/>
      <c r="B2961" s="50"/>
      <c r="E2961" s="50"/>
      <c r="F2961" s="50"/>
      <c r="G2961" s="50"/>
      <c r="H2961" s="50"/>
    </row>
    <row r="2962" spans="1:8" ht="17.2" customHeight="1" x14ac:dyDescent="0.3">
      <c r="A2962" s="50"/>
      <c r="B2962" s="50"/>
      <c r="E2962" s="50"/>
      <c r="F2962" s="50"/>
      <c r="G2962" s="50"/>
      <c r="H2962" s="50"/>
    </row>
    <row r="2963" spans="1:8" ht="17.2" customHeight="1" x14ac:dyDescent="0.3">
      <c r="A2963" s="50"/>
      <c r="B2963" s="50"/>
      <c r="E2963" s="50"/>
      <c r="F2963" s="50"/>
      <c r="G2963" s="50"/>
      <c r="H2963" s="50"/>
    </row>
    <row r="2964" spans="1:8" ht="17.2" customHeight="1" x14ac:dyDescent="0.3">
      <c r="A2964" s="50"/>
      <c r="B2964" s="50"/>
      <c r="E2964" s="50"/>
      <c r="F2964" s="50"/>
      <c r="G2964" s="50"/>
      <c r="H2964" s="50"/>
    </row>
    <row r="2965" spans="1:8" ht="17.2" customHeight="1" x14ac:dyDescent="0.3">
      <c r="A2965" s="50"/>
      <c r="B2965" s="50"/>
      <c r="E2965" s="50"/>
      <c r="F2965" s="50"/>
      <c r="G2965" s="50"/>
      <c r="H2965" s="50"/>
    </row>
    <row r="2966" spans="1:8" ht="17.2" customHeight="1" x14ac:dyDescent="0.3">
      <c r="A2966" s="50"/>
      <c r="B2966" s="50"/>
      <c r="E2966" s="50"/>
      <c r="F2966" s="50"/>
      <c r="G2966" s="50"/>
      <c r="H2966" s="50"/>
    </row>
  </sheetData>
  <mergeCells count="2221">
    <mergeCell ref="B2433:C2433"/>
    <mergeCell ref="D2433:E2433"/>
    <mergeCell ref="F2433:G2433"/>
    <mergeCell ref="B2434:C2434"/>
    <mergeCell ref="D2435:E2435"/>
    <mergeCell ref="F2435:G2435"/>
    <mergeCell ref="B2414:C2414"/>
    <mergeCell ref="B1677:C1677"/>
    <mergeCell ref="D1677:E1677"/>
    <mergeCell ref="F1677:G1677"/>
    <mergeCell ref="F1675:G1675"/>
    <mergeCell ref="D2169:E2169"/>
    <mergeCell ref="F2169:G2169"/>
    <mergeCell ref="D2236:E2237"/>
    <mergeCell ref="F2236:F2237"/>
    <mergeCell ref="D2238:E2238"/>
    <mergeCell ref="C2239:C2240"/>
    <mergeCell ref="D2275:E2275"/>
    <mergeCell ref="F2275:G2275"/>
    <mergeCell ref="B2276:C2276"/>
    <mergeCell ref="F2276:G2276"/>
    <mergeCell ref="B2277:C2277"/>
    <mergeCell ref="D2277:E2277"/>
    <mergeCell ref="B2415:C2415"/>
    <mergeCell ref="B2417:G2417"/>
    <mergeCell ref="B2423:G2423"/>
    <mergeCell ref="B2432:G2432"/>
    <mergeCell ref="B2144:C2144"/>
    <mergeCell ref="B2145:C2145"/>
    <mergeCell ref="B2146:C2146"/>
    <mergeCell ref="B2147:C2147"/>
    <mergeCell ref="B2148:C2148"/>
    <mergeCell ref="B216:C216"/>
    <mergeCell ref="B268:G268"/>
    <mergeCell ref="B269:C269"/>
    <mergeCell ref="B270:C270"/>
    <mergeCell ref="B271:C271"/>
    <mergeCell ref="B273:G273"/>
    <mergeCell ref="B279:G279"/>
    <mergeCell ref="B288:G288"/>
    <mergeCell ref="B289:C289"/>
    <mergeCell ref="D289:E289"/>
    <mergeCell ref="F289:G289"/>
    <mergeCell ref="B290:C290"/>
    <mergeCell ref="D290:E290"/>
    <mergeCell ref="F290:G290"/>
    <mergeCell ref="B240:C240"/>
    <mergeCell ref="D240:E240"/>
    <mergeCell ref="F240:G240"/>
    <mergeCell ref="B241:C241"/>
    <mergeCell ref="D241:E241"/>
    <mergeCell ref="F241:G241"/>
    <mergeCell ref="B242:C242"/>
    <mergeCell ref="D242:E242"/>
    <mergeCell ref="F242:G242"/>
    <mergeCell ref="B243:C243"/>
    <mergeCell ref="D243:E243"/>
    <mergeCell ref="F243:G243"/>
    <mergeCell ref="B2437:C2437"/>
    <mergeCell ref="D2437:E2437"/>
    <mergeCell ref="F2437:G2437"/>
    <mergeCell ref="B1481:C1481"/>
    <mergeCell ref="B1482:C1482"/>
    <mergeCell ref="B1483:C1483"/>
    <mergeCell ref="B1484:C1484"/>
    <mergeCell ref="B1486:G1486"/>
    <mergeCell ref="B1492:G1492"/>
    <mergeCell ref="B1501:G1501"/>
    <mergeCell ref="B1502:C1502"/>
    <mergeCell ref="D1502:E1502"/>
    <mergeCell ref="F1502:G1502"/>
    <mergeCell ref="B1503:C1503"/>
    <mergeCell ref="D1503:E1503"/>
    <mergeCell ref="F1503:G1503"/>
    <mergeCell ref="B1504:C1504"/>
    <mergeCell ref="D1504:E1504"/>
    <mergeCell ref="F1504:G1504"/>
    <mergeCell ref="A1633:B1638"/>
    <mergeCell ref="A2394:B2399"/>
    <mergeCell ref="C2394:C2395"/>
    <mergeCell ref="D2394:E2394"/>
    <mergeCell ref="G2394:H2399"/>
    <mergeCell ref="D2395:E2396"/>
    <mergeCell ref="F2395:F2396"/>
    <mergeCell ref="D2434:E2434"/>
    <mergeCell ref="F2434:G2434"/>
    <mergeCell ref="B2435:C2435"/>
    <mergeCell ref="B1811:F1811"/>
    <mergeCell ref="D1807:E1807"/>
    <mergeCell ref="C1808:C1809"/>
    <mergeCell ref="D2397:E2397"/>
    <mergeCell ref="C2398:C2399"/>
    <mergeCell ref="D2398:E2399"/>
    <mergeCell ref="A2400:H2400"/>
    <mergeCell ref="B2401:F2401"/>
    <mergeCell ref="B2191:G2191"/>
    <mergeCell ref="B2192:C2192"/>
    <mergeCell ref="B2169:C2169"/>
    <mergeCell ref="A2188:H2188"/>
    <mergeCell ref="B2189:F2189"/>
    <mergeCell ref="B2194:C2194"/>
    <mergeCell ref="B2196:G2196"/>
    <mergeCell ref="B2197:C2197"/>
    <mergeCell ref="B2245:C2245"/>
    <mergeCell ref="B2221:C2221"/>
    <mergeCell ref="B2201:C2201"/>
    <mergeCell ref="B2275:C2275"/>
    <mergeCell ref="B2202:C2202"/>
    <mergeCell ref="B2203:C2203"/>
    <mergeCell ref="D2276:E2276"/>
    <mergeCell ref="B2309:C2309"/>
    <mergeCell ref="B2311:G2311"/>
    <mergeCell ref="B2317:G2317"/>
    <mergeCell ref="B2278:C2278"/>
    <mergeCell ref="B2244:G2244"/>
    <mergeCell ref="G2288:H2293"/>
    <mergeCell ref="B2326:G2326"/>
    <mergeCell ref="B2327:C2327"/>
    <mergeCell ref="B1595:C1595"/>
    <mergeCell ref="B1596:C1596"/>
    <mergeCell ref="B1597:C1597"/>
    <mergeCell ref="B1598:C1598"/>
    <mergeCell ref="B1599:C1599"/>
    <mergeCell ref="B1600:C1600"/>
    <mergeCell ref="B1602:G1602"/>
    <mergeCell ref="B1608:G1608"/>
    <mergeCell ref="B1617:G1617"/>
    <mergeCell ref="D1618:E1618"/>
    <mergeCell ref="F1618:G1618"/>
    <mergeCell ref="B1619:C1619"/>
    <mergeCell ref="F1676:G1676"/>
    <mergeCell ref="B2436:C2436"/>
    <mergeCell ref="D2436:E2436"/>
    <mergeCell ref="F2436:G2436"/>
    <mergeCell ref="B2403:G2403"/>
    <mergeCell ref="B2404:C2404"/>
    <mergeCell ref="B2405:C2405"/>
    <mergeCell ref="B2406:C2406"/>
    <mergeCell ref="B2408:G2408"/>
    <mergeCell ref="B2409:C2409"/>
    <mergeCell ref="B2410:C2410"/>
    <mergeCell ref="B2411:C2411"/>
    <mergeCell ref="B2412:C2412"/>
    <mergeCell ref="B2413:C2413"/>
    <mergeCell ref="B2170:C2170"/>
    <mergeCell ref="D2170:E2170"/>
    <mergeCell ref="F2170:G2170"/>
    <mergeCell ref="B2171:C2171"/>
    <mergeCell ref="D2171:E2171"/>
    <mergeCell ref="F2171:G2171"/>
    <mergeCell ref="B1618:C1618"/>
    <mergeCell ref="B1644:C1644"/>
    <mergeCell ref="B1645:C1645"/>
    <mergeCell ref="B1647:G1647"/>
    <mergeCell ref="B1648:C1648"/>
    <mergeCell ref="B1649:C1649"/>
    <mergeCell ref="B1650:C1650"/>
    <mergeCell ref="B1651:C1651"/>
    <mergeCell ref="G1633:H1638"/>
    <mergeCell ref="D1634:E1635"/>
    <mergeCell ref="F1634:F1635"/>
    <mergeCell ref="D1636:E1636"/>
    <mergeCell ref="C1637:C1638"/>
    <mergeCell ref="D1637:E1638"/>
    <mergeCell ref="A1639:H1639"/>
    <mergeCell ref="B1620:C1620"/>
    <mergeCell ref="D1620:E1620"/>
    <mergeCell ref="F1620:G1620"/>
    <mergeCell ref="C1633:C1634"/>
    <mergeCell ref="D1633:E1633"/>
    <mergeCell ref="B1640:F1640"/>
    <mergeCell ref="B1642:G1642"/>
    <mergeCell ref="B1643:C1643"/>
    <mergeCell ref="D1619:E1619"/>
    <mergeCell ref="F1619:G1619"/>
    <mergeCell ref="B1621:C1621"/>
    <mergeCell ref="D1621:E1621"/>
    <mergeCell ref="F1621:G1621"/>
    <mergeCell ref="B1622:C1622"/>
    <mergeCell ref="D1622:E1622"/>
    <mergeCell ref="F1622:G1622"/>
    <mergeCell ref="A1468:H1468"/>
    <mergeCell ref="B1469:F1469"/>
    <mergeCell ref="D1411:E1411"/>
    <mergeCell ref="G1411:H1416"/>
    <mergeCell ref="D1412:E1413"/>
    <mergeCell ref="F1412:F1413"/>
    <mergeCell ref="D1414:E1414"/>
    <mergeCell ref="C1415:C1416"/>
    <mergeCell ref="D1415:E1416"/>
    <mergeCell ref="A1417:H1417"/>
    <mergeCell ref="B1418:F1418"/>
    <mergeCell ref="B1420:G1420"/>
    <mergeCell ref="B1421:C1421"/>
    <mergeCell ref="D1447:E1447"/>
    <mergeCell ref="F1447:G1447"/>
    <mergeCell ref="B1593:C1593"/>
    <mergeCell ref="B1594:C1594"/>
    <mergeCell ref="B1585:F1585"/>
    <mergeCell ref="B1587:G1587"/>
    <mergeCell ref="B1588:C1588"/>
    <mergeCell ref="D1505:E1505"/>
    <mergeCell ref="F1505:G1505"/>
    <mergeCell ref="D1558:E1558"/>
    <mergeCell ref="F1558:G1558"/>
    <mergeCell ref="B1559:C1559"/>
    <mergeCell ref="D1559:E1559"/>
    <mergeCell ref="F1559:G1559"/>
    <mergeCell ref="B1560:C1560"/>
    <mergeCell ref="D1560:E1560"/>
    <mergeCell ref="F1560:G1560"/>
    <mergeCell ref="B1561:C1561"/>
    <mergeCell ref="B1557:C1557"/>
    <mergeCell ref="D1396:E1396"/>
    <mergeCell ref="B1399:C1399"/>
    <mergeCell ref="D1399:E1399"/>
    <mergeCell ref="F1399:G1399"/>
    <mergeCell ref="B1400:C1400"/>
    <mergeCell ref="D1400:E1400"/>
    <mergeCell ref="F1400:G1400"/>
    <mergeCell ref="A1462:B1467"/>
    <mergeCell ref="C1462:C1463"/>
    <mergeCell ref="D1462:E1462"/>
    <mergeCell ref="G1462:H1467"/>
    <mergeCell ref="D1463:E1464"/>
    <mergeCell ref="F1463:F1464"/>
    <mergeCell ref="D1465:E1465"/>
    <mergeCell ref="C1466:C1467"/>
    <mergeCell ref="D1466:E1467"/>
    <mergeCell ref="F1451:G1451"/>
    <mergeCell ref="D1450:E1450"/>
    <mergeCell ref="F1450:G1450"/>
    <mergeCell ref="B1451:C1451"/>
    <mergeCell ref="D1451:E1451"/>
    <mergeCell ref="B1450:C1450"/>
    <mergeCell ref="A1411:B1416"/>
    <mergeCell ref="D1363:E1364"/>
    <mergeCell ref="B1397:C1397"/>
    <mergeCell ref="D1397:E1397"/>
    <mergeCell ref="F1397:G1397"/>
    <mergeCell ref="B1398:C1398"/>
    <mergeCell ref="D1398:E1398"/>
    <mergeCell ref="F1398:G1398"/>
    <mergeCell ref="B1471:G1471"/>
    <mergeCell ref="B1472:C1472"/>
    <mergeCell ref="B1473:C1473"/>
    <mergeCell ref="B1474:C1474"/>
    <mergeCell ref="B1476:G1476"/>
    <mergeCell ref="B1477:C1477"/>
    <mergeCell ref="B1478:C1478"/>
    <mergeCell ref="B1479:C1479"/>
    <mergeCell ref="B1480:C1480"/>
    <mergeCell ref="A1365:H1365"/>
    <mergeCell ref="B1366:F1366"/>
    <mergeCell ref="B1368:G1368"/>
    <mergeCell ref="B1369:C1369"/>
    <mergeCell ref="B1370:C1370"/>
    <mergeCell ref="B1371:C1371"/>
    <mergeCell ref="B1373:G1373"/>
    <mergeCell ref="B1374:C1374"/>
    <mergeCell ref="B1375:C1375"/>
    <mergeCell ref="B1376:C1376"/>
    <mergeCell ref="B1377:C1377"/>
    <mergeCell ref="B1378:C1378"/>
    <mergeCell ref="B1380:G1380"/>
    <mergeCell ref="B1386:G1386"/>
    <mergeCell ref="B1395:G1395"/>
    <mergeCell ref="B1396:C1396"/>
    <mergeCell ref="D2701:E2701"/>
    <mergeCell ref="F2701:G2701"/>
    <mergeCell ref="B2702:C2702"/>
    <mergeCell ref="D2702:E2702"/>
    <mergeCell ref="F2702:G2702"/>
    <mergeCell ref="B2703:C2703"/>
    <mergeCell ref="D2703:E2703"/>
    <mergeCell ref="F2703:G2703"/>
    <mergeCell ref="B2704:C2704"/>
    <mergeCell ref="D2704:E2704"/>
    <mergeCell ref="F2704:G2704"/>
    <mergeCell ref="A1255:B1260"/>
    <mergeCell ref="C1255:C1256"/>
    <mergeCell ref="D1255:E1255"/>
    <mergeCell ref="G1255:H1260"/>
    <mergeCell ref="D1256:E1257"/>
    <mergeCell ref="F1256:F1257"/>
    <mergeCell ref="D1258:E1258"/>
    <mergeCell ref="C1259:C1260"/>
    <mergeCell ref="D1259:E1260"/>
    <mergeCell ref="A1261:H1261"/>
    <mergeCell ref="B1262:F1262"/>
    <mergeCell ref="B1264:G1264"/>
    <mergeCell ref="B1265:C1265"/>
    <mergeCell ref="B1266:C1266"/>
    <mergeCell ref="B1267:C1267"/>
    <mergeCell ref="B1269:G1269"/>
    <mergeCell ref="B1270:C1270"/>
    <mergeCell ref="B1271:C1271"/>
    <mergeCell ref="D1311:E1312"/>
    <mergeCell ref="A1313:H1313"/>
    <mergeCell ref="B1314:F1314"/>
    <mergeCell ref="B2678:C2678"/>
    <mergeCell ref="B2679:C2679"/>
    <mergeCell ref="B2680:C2680"/>
    <mergeCell ref="B2681:C2681"/>
    <mergeCell ref="B2682:C2682"/>
    <mergeCell ref="A2608:B2613"/>
    <mergeCell ref="C2608:C2609"/>
    <mergeCell ref="D2608:E2608"/>
    <mergeCell ref="G2608:H2613"/>
    <mergeCell ref="D2609:E2610"/>
    <mergeCell ref="F2609:F2610"/>
    <mergeCell ref="D2611:E2611"/>
    <mergeCell ref="C2612:C2613"/>
    <mergeCell ref="D2612:E2613"/>
    <mergeCell ref="A2614:H2614"/>
    <mergeCell ref="B2615:F2615"/>
    <mergeCell ref="B2617:G2617"/>
    <mergeCell ref="B2618:C2618"/>
    <mergeCell ref="B2619:C2619"/>
    <mergeCell ref="B2620:C2620"/>
    <mergeCell ref="B2622:G2622"/>
    <mergeCell ref="B2623:C2623"/>
    <mergeCell ref="B2624:C2624"/>
    <mergeCell ref="B2625:C2625"/>
    <mergeCell ref="B2626:C2626"/>
    <mergeCell ref="B2627:C2627"/>
    <mergeCell ref="B2628:C2628"/>
    <mergeCell ref="B2629:C2629"/>
    <mergeCell ref="B2631:G2631"/>
    <mergeCell ref="B2637:G2637"/>
    <mergeCell ref="B393:C393"/>
    <mergeCell ref="D393:E393"/>
    <mergeCell ref="F393:G393"/>
    <mergeCell ref="B2684:G2684"/>
    <mergeCell ref="B2690:G2690"/>
    <mergeCell ref="B2699:G2699"/>
    <mergeCell ref="B2700:C2700"/>
    <mergeCell ref="D2700:E2700"/>
    <mergeCell ref="F2700:G2700"/>
    <mergeCell ref="B2701:C2701"/>
    <mergeCell ref="B2646:G2646"/>
    <mergeCell ref="B2647:C2647"/>
    <mergeCell ref="D2647:E2647"/>
    <mergeCell ref="F2647:G2647"/>
    <mergeCell ref="B2648:C2648"/>
    <mergeCell ref="D2648:E2648"/>
    <mergeCell ref="F2648:G2648"/>
    <mergeCell ref="B2649:C2649"/>
    <mergeCell ref="D2649:E2649"/>
    <mergeCell ref="F2649:G2649"/>
    <mergeCell ref="B2650:C2650"/>
    <mergeCell ref="D2650:E2650"/>
    <mergeCell ref="F2650:G2650"/>
    <mergeCell ref="B2651:C2651"/>
    <mergeCell ref="D2651:E2651"/>
    <mergeCell ref="B2669:F2669"/>
    <mergeCell ref="B2671:G2671"/>
    <mergeCell ref="B2672:C2672"/>
    <mergeCell ref="B2673:C2673"/>
    <mergeCell ref="B2674:C2674"/>
    <mergeCell ref="B2676:G2676"/>
    <mergeCell ref="B2677:C2677"/>
    <mergeCell ref="B370:C370"/>
    <mergeCell ref="B371:C371"/>
    <mergeCell ref="B373:G373"/>
    <mergeCell ref="B379:G379"/>
    <mergeCell ref="B388:G388"/>
    <mergeCell ref="B389:C389"/>
    <mergeCell ref="D389:E389"/>
    <mergeCell ref="F389:G389"/>
    <mergeCell ref="B390:C390"/>
    <mergeCell ref="D390:E390"/>
    <mergeCell ref="F390:G390"/>
    <mergeCell ref="B391:C391"/>
    <mergeCell ref="D391:E391"/>
    <mergeCell ref="F391:G391"/>
    <mergeCell ref="B392:C392"/>
    <mergeCell ref="D392:E392"/>
    <mergeCell ref="F392:G392"/>
    <mergeCell ref="A354:B359"/>
    <mergeCell ref="C354:C355"/>
    <mergeCell ref="D354:E354"/>
    <mergeCell ref="G354:H359"/>
    <mergeCell ref="D355:E356"/>
    <mergeCell ref="F355:F356"/>
    <mergeCell ref="D357:E357"/>
    <mergeCell ref="C358:C359"/>
    <mergeCell ref="D358:E359"/>
    <mergeCell ref="A360:H360"/>
    <mergeCell ref="B361:F361"/>
    <mergeCell ref="B363:G363"/>
    <mergeCell ref="B364:C364"/>
    <mergeCell ref="B365:C365"/>
    <mergeCell ref="B366:C366"/>
    <mergeCell ref="B368:G368"/>
    <mergeCell ref="B369:C369"/>
    <mergeCell ref="B1079:C1079"/>
    <mergeCell ref="D1079:E1079"/>
    <mergeCell ref="F1079:G1079"/>
    <mergeCell ref="B1080:C1080"/>
    <mergeCell ref="D1080:E1080"/>
    <mergeCell ref="F1080:G1080"/>
    <mergeCell ref="B1081:C1081"/>
    <mergeCell ref="D1081:E1081"/>
    <mergeCell ref="F1081:G1081"/>
    <mergeCell ref="G1091:H1096"/>
    <mergeCell ref="D1092:E1093"/>
    <mergeCell ref="F1092:F1093"/>
    <mergeCell ref="D1094:E1094"/>
    <mergeCell ref="C1095:C1096"/>
    <mergeCell ref="D1095:E1096"/>
    <mergeCell ref="B1108:C1108"/>
    <mergeCell ref="B1109:C1109"/>
    <mergeCell ref="A1091:B1096"/>
    <mergeCell ref="C1091:C1092"/>
    <mergeCell ref="D1091:E1091"/>
    <mergeCell ref="B1059:C1059"/>
    <mergeCell ref="B1061:G1061"/>
    <mergeCell ref="B1067:G1067"/>
    <mergeCell ref="B1013:G1013"/>
    <mergeCell ref="B1022:G1022"/>
    <mergeCell ref="B1023:C1023"/>
    <mergeCell ref="D1023:E1023"/>
    <mergeCell ref="F1023:G1023"/>
    <mergeCell ref="B1024:C1024"/>
    <mergeCell ref="D1024:E1024"/>
    <mergeCell ref="F1024:G1024"/>
    <mergeCell ref="B1025:C1025"/>
    <mergeCell ref="D1025:E1025"/>
    <mergeCell ref="F1025:G1025"/>
    <mergeCell ref="B1026:C1026"/>
    <mergeCell ref="D1026:E1026"/>
    <mergeCell ref="F1026:G1026"/>
    <mergeCell ref="B1027:C1027"/>
    <mergeCell ref="D1027:E1027"/>
    <mergeCell ref="D881:E881"/>
    <mergeCell ref="C882:C883"/>
    <mergeCell ref="D882:E883"/>
    <mergeCell ref="B918:C918"/>
    <mergeCell ref="D918:E918"/>
    <mergeCell ref="F918:G918"/>
    <mergeCell ref="B919:C919"/>
    <mergeCell ref="D919:E919"/>
    <mergeCell ref="F919:G919"/>
    <mergeCell ref="B920:C920"/>
    <mergeCell ref="D920:E920"/>
    <mergeCell ref="F920:G920"/>
    <mergeCell ref="B895:C895"/>
    <mergeCell ref="A884:H884"/>
    <mergeCell ref="B885:F885"/>
    <mergeCell ref="B887:G887"/>
    <mergeCell ref="F1027:G1027"/>
    <mergeCell ref="C988:C989"/>
    <mergeCell ref="D988:E989"/>
    <mergeCell ref="A990:H990"/>
    <mergeCell ref="B991:F991"/>
    <mergeCell ref="B993:G993"/>
    <mergeCell ref="B994:C994"/>
    <mergeCell ref="B995:C995"/>
    <mergeCell ref="B996:C996"/>
    <mergeCell ref="B998:G998"/>
    <mergeCell ref="B999:C999"/>
    <mergeCell ref="B1000:C1000"/>
    <mergeCell ref="B1001:C1001"/>
    <mergeCell ref="B1002:C1002"/>
    <mergeCell ref="B1003:C1003"/>
    <mergeCell ref="B1004:C1004"/>
    <mergeCell ref="F762:G762"/>
    <mergeCell ref="A831:H831"/>
    <mergeCell ref="B832:F832"/>
    <mergeCell ref="B834:G834"/>
    <mergeCell ref="B835:C835"/>
    <mergeCell ref="B836:C836"/>
    <mergeCell ref="B837:C837"/>
    <mergeCell ref="B839:G839"/>
    <mergeCell ref="B840:C840"/>
    <mergeCell ref="B841:C841"/>
    <mergeCell ref="A825:B830"/>
    <mergeCell ref="C825:C826"/>
    <mergeCell ref="D825:E825"/>
    <mergeCell ref="G825:H830"/>
    <mergeCell ref="D826:E827"/>
    <mergeCell ref="F826:F827"/>
    <mergeCell ref="B865:C865"/>
    <mergeCell ref="D865:E865"/>
    <mergeCell ref="F865:G865"/>
    <mergeCell ref="C829:C830"/>
    <mergeCell ref="D829:E830"/>
    <mergeCell ref="D773:E774"/>
    <mergeCell ref="F773:F774"/>
    <mergeCell ref="D775:E775"/>
    <mergeCell ref="C776:C777"/>
    <mergeCell ref="D776:E777"/>
    <mergeCell ref="A778:H778"/>
    <mergeCell ref="B781:G781"/>
    <mergeCell ref="B782:C782"/>
    <mergeCell ref="B811:C811"/>
    <mergeCell ref="D811:E811"/>
    <mergeCell ref="F811:G811"/>
    <mergeCell ref="B498:C498"/>
    <mergeCell ref="D498:E498"/>
    <mergeCell ref="F498:G498"/>
    <mergeCell ref="B550:C550"/>
    <mergeCell ref="D550:E550"/>
    <mergeCell ref="F550:G550"/>
    <mergeCell ref="B547:C547"/>
    <mergeCell ref="D547:E547"/>
    <mergeCell ref="F547:G547"/>
    <mergeCell ref="B548:C548"/>
    <mergeCell ref="D548:E548"/>
    <mergeCell ref="F548:G548"/>
    <mergeCell ref="B549:C549"/>
    <mergeCell ref="D549:E549"/>
    <mergeCell ref="F549:G549"/>
    <mergeCell ref="B528:C528"/>
    <mergeCell ref="B530:G530"/>
    <mergeCell ref="B536:G536"/>
    <mergeCell ref="B545:G545"/>
    <mergeCell ref="B546:C546"/>
    <mergeCell ref="D546:E546"/>
    <mergeCell ref="F546:G546"/>
    <mergeCell ref="A514:H514"/>
    <mergeCell ref="B515:F515"/>
    <mergeCell ref="B517:G517"/>
    <mergeCell ref="B518:C518"/>
    <mergeCell ref="B519:C519"/>
    <mergeCell ref="B522:G522"/>
    <mergeCell ref="B523:C523"/>
    <mergeCell ref="A508:B513"/>
    <mergeCell ref="C508:C509"/>
    <mergeCell ref="D508:E508"/>
    <mergeCell ref="B44:C44"/>
    <mergeCell ref="D44:E44"/>
    <mergeCell ref="F44:G44"/>
    <mergeCell ref="B445:C445"/>
    <mergeCell ref="D445:E445"/>
    <mergeCell ref="F445:G445"/>
    <mergeCell ref="B442:C442"/>
    <mergeCell ref="D442:E442"/>
    <mergeCell ref="F442:G442"/>
    <mergeCell ref="B443:C443"/>
    <mergeCell ref="D443:E443"/>
    <mergeCell ref="F443:G443"/>
    <mergeCell ref="B444:C444"/>
    <mergeCell ref="D444:E444"/>
    <mergeCell ref="F444:G444"/>
    <mergeCell ref="B421:C421"/>
    <mergeCell ref="B422:C422"/>
    <mergeCell ref="B423:C423"/>
    <mergeCell ref="B425:G425"/>
    <mergeCell ref="B431:G431"/>
    <mergeCell ref="B440:G440"/>
    <mergeCell ref="B441:C441"/>
    <mergeCell ref="D441:E441"/>
    <mergeCell ref="F441:G441"/>
    <mergeCell ref="B88:G88"/>
    <mergeCell ref="B89:C89"/>
    <mergeCell ref="D89:E89"/>
    <mergeCell ref="F89:G89"/>
    <mergeCell ref="B90:C90"/>
    <mergeCell ref="D90:E90"/>
    <mergeCell ref="F90:G90"/>
    <mergeCell ref="B91:C91"/>
    <mergeCell ref="G508:H513"/>
    <mergeCell ref="D509:E510"/>
    <mergeCell ref="F509:F510"/>
    <mergeCell ref="D511:E511"/>
    <mergeCell ref="C512:C513"/>
    <mergeCell ref="D512:E513"/>
    <mergeCell ref="A404:B409"/>
    <mergeCell ref="C404:C405"/>
    <mergeCell ref="D404:E404"/>
    <mergeCell ref="G404:H409"/>
    <mergeCell ref="D405:E406"/>
    <mergeCell ref="F405:F406"/>
    <mergeCell ref="D407:E407"/>
    <mergeCell ref="C408:C409"/>
    <mergeCell ref="D408:E409"/>
    <mergeCell ref="A410:H410"/>
    <mergeCell ref="B411:F411"/>
    <mergeCell ref="B413:G413"/>
    <mergeCell ref="B414:C414"/>
    <mergeCell ref="B415:C415"/>
    <mergeCell ref="B416:C416"/>
    <mergeCell ref="B418:G418"/>
    <mergeCell ref="B419:C419"/>
    <mergeCell ref="B420:C420"/>
    <mergeCell ref="B476:C476"/>
    <mergeCell ref="B478:G478"/>
    <mergeCell ref="B484:G484"/>
    <mergeCell ref="B467:C467"/>
    <mergeCell ref="B469:G469"/>
    <mergeCell ref="B470:C470"/>
    <mergeCell ref="B471:C471"/>
    <mergeCell ref="B472:C472"/>
    <mergeCell ref="B496:C496"/>
    <mergeCell ref="D496:E496"/>
    <mergeCell ref="F496:G496"/>
    <mergeCell ref="B497:C497"/>
    <mergeCell ref="D497:E497"/>
    <mergeCell ref="F497:G497"/>
    <mergeCell ref="B493:G493"/>
    <mergeCell ref="B494:C494"/>
    <mergeCell ref="D494:E494"/>
    <mergeCell ref="F494:G494"/>
    <mergeCell ref="B495:C495"/>
    <mergeCell ref="D495:E495"/>
    <mergeCell ref="F495:G495"/>
    <mergeCell ref="A461:H461"/>
    <mergeCell ref="B462:F462"/>
    <mergeCell ref="B464:G464"/>
    <mergeCell ref="B465:C465"/>
    <mergeCell ref="B466:C466"/>
    <mergeCell ref="A455:B460"/>
    <mergeCell ref="C455:C456"/>
    <mergeCell ref="D455:E455"/>
    <mergeCell ref="G455:H460"/>
    <mergeCell ref="D456:E457"/>
    <mergeCell ref="F456:F457"/>
    <mergeCell ref="D458:E458"/>
    <mergeCell ref="C459:C460"/>
    <mergeCell ref="D459:E460"/>
    <mergeCell ref="B473:C473"/>
    <mergeCell ref="B474:C474"/>
    <mergeCell ref="B475:C475"/>
    <mergeCell ref="B24:G24"/>
    <mergeCell ref="B30:G30"/>
    <mergeCell ref="B39:G39"/>
    <mergeCell ref="B14:C14"/>
    <mergeCell ref="B15:C15"/>
    <mergeCell ref="B18:G18"/>
    <mergeCell ref="B19:C19"/>
    <mergeCell ref="B16:C16"/>
    <mergeCell ref="B42:C42"/>
    <mergeCell ref="D42:E42"/>
    <mergeCell ref="F42:G42"/>
    <mergeCell ref="B43:C43"/>
    <mergeCell ref="D43:E43"/>
    <mergeCell ref="F43:G43"/>
    <mergeCell ref="B40:C40"/>
    <mergeCell ref="D40:E40"/>
    <mergeCell ref="F40:G40"/>
    <mergeCell ref="B41:C41"/>
    <mergeCell ref="D41:E41"/>
    <mergeCell ref="F41:G41"/>
    <mergeCell ref="A10:H10"/>
    <mergeCell ref="B11:F11"/>
    <mergeCell ref="B13:G13"/>
    <mergeCell ref="A7:H7"/>
    <mergeCell ref="A8:H9"/>
    <mergeCell ref="A1:B6"/>
    <mergeCell ref="C1:C2"/>
    <mergeCell ref="D1:E1"/>
    <mergeCell ref="G1:H6"/>
    <mergeCell ref="D2:E3"/>
    <mergeCell ref="F2:F3"/>
    <mergeCell ref="D4:E4"/>
    <mergeCell ref="C5:C6"/>
    <mergeCell ref="D5:E6"/>
    <mergeCell ref="B20:C20"/>
    <mergeCell ref="B21:C21"/>
    <mergeCell ref="B22:C22"/>
    <mergeCell ref="A566:H566"/>
    <mergeCell ref="B567:F567"/>
    <mergeCell ref="B569:G569"/>
    <mergeCell ref="B570:C570"/>
    <mergeCell ref="B571:C571"/>
    <mergeCell ref="B572:C572"/>
    <mergeCell ref="B574:G574"/>
    <mergeCell ref="B575:C575"/>
    <mergeCell ref="B576:C576"/>
    <mergeCell ref="A560:B565"/>
    <mergeCell ref="C560:C561"/>
    <mergeCell ref="D560:E560"/>
    <mergeCell ref="G560:H565"/>
    <mergeCell ref="D561:E562"/>
    <mergeCell ref="F561:F562"/>
    <mergeCell ref="D563:E563"/>
    <mergeCell ref="C564:C565"/>
    <mergeCell ref="D564:E565"/>
    <mergeCell ref="B600:C600"/>
    <mergeCell ref="D600:E600"/>
    <mergeCell ref="F600:G600"/>
    <mergeCell ref="B601:C601"/>
    <mergeCell ref="D601:E601"/>
    <mergeCell ref="F601:G601"/>
    <mergeCell ref="B602:C602"/>
    <mergeCell ref="D602:E602"/>
    <mergeCell ref="F602:G602"/>
    <mergeCell ref="B577:C577"/>
    <mergeCell ref="B578:C578"/>
    <mergeCell ref="B579:C579"/>
    <mergeCell ref="B580:C580"/>
    <mergeCell ref="B581:C581"/>
    <mergeCell ref="B583:G583"/>
    <mergeCell ref="B589:G589"/>
    <mergeCell ref="B598:G598"/>
    <mergeCell ref="B599:C599"/>
    <mergeCell ref="D599:E599"/>
    <mergeCell ref="F599:G599"/>
    <mergeCell ref="A619:H619"/>
    <mergeCell ref="B620:F620"/>
    <mergeCell ref="B622:G622"/>
    <mergeCell ref="B623:C623"/>
    <mergeCell ref="B624:C624"/>
    <mergeCell ref="B625:C625"/>
    <mergeCell ref="B627:G627"/>
    <mergeCell ref="B628:C628"/>
    <mergeCell ref="B629:C629"/>
    <mergeCell ref="B603:C603"/>
    <mergeCell ref="D603:E603"/>
    <mergeCell ref="F603:G603"/>
    <mergeCell ref="A613:B618"/>
    <mergeCell ref="C613:C614"/>
    <mergeCell ref="D613:E613"/>
    <mergeCell ref="G613:H618"/>
    <mergeCell ref="D614:E615"/>
    <mergeCell ref="F614:F615"/>
    <mergeCell ref="D616:E616"/>
    <mergeCell ref="C617:C618"/>
    <mergeCell ref="D617:E618"/>
    <mergeCell ref="B653:C653"/>
    <mergeCell ref="D653:E653"/>
    <mergeCell ref="F653:G653"/>
    <mergeCell ref="B654:C654"/>
    <mergeCell ref="D654:E654"/>
    <mergeCell ref="F654:G654"/>
    <mergeCell ref="B655:C655"/>
    <mergeCell ref="D655:E655"/>
    <mergeCell ref="F655:G655"/>
    <mergeCell ref="B630:C630"/>
    <mergeCell ref="B631:C631"/>
    <mergeCell ref="B632:C632"/>
    <mergeCell ref="B633:C633"/>
    <mergeCell ref="B634:C634"/>
    <mergeCell ref="B636:G636"/>
    <mergeCell ref="B642:G642"/>
    <mergeCell ref="B651:G651"/>
    <mergeCell ref="B652:C652"/>
    <mergeCell ref="D652:E652"/>
    <mergeCell ref="F652:G652"/>
    <mergeCell ref="A672:H672"/>
    <mergeCell ref="B673:F673"/>
    <mergeCell ref="B675:G675"/>
    <mergeCell ref="B676:C676"/>
    <mergeCell ref="B677:C677"/>
    <mergeCell ref="B678:C678"/>
    <mergeCell ref="B680:G680"/>
    <mergeCell ref="B681:C681"/>
    <mergeCell ref="B682:C682"/>
    <mergeCell ref="B656:C656"/>
    <mergeCell ref="D656:E656"/>
    <mergeCell ref="F656:G656"/>
    <mergeCell ref="A666:B671"/>
    <mergeCell ref="C666:C667"/>
    <mergeCell ref="D666:E666"/>
    <mergeCell ref="G666:H671"/>
    <mergeCell ref="D667:E668"/>
    <mergeCell ref="F667:F668"/>
    <mergeCell ref="D669:E669"/>
    <mergeCell ref="C670:C671"/>
    <mergeCell ref="D670:E671"/>
    <mergeCell ref="A719:B724"/>
    <mergeCell ref="C719:C720"/>
    <mergeCell ref="D719:E719"/>
    <mergeCell ref="G719:H724"/>
    <mergeCell ref="D720:E721"/>
    <mergeCell ref="F720:F721"/>
    <mergeCell ref="D722:E722"/>
    <mergeCell ref="C723:C724"/>
    <mergeCell ref="D723:E724"/>
    <mergeCell ref="A725:H725"/>
    <mergeCell ref="B726:F726"/>
    <mergeCell ref="B789:C789"/>
    <mergeCell ref="B790:C790"/>
    <mergeCell ref="B791:C791"/>
    <mergeCell ref="B728:G728"/>
    <mergeCell ref="B729:C729"/>
    <mergeCell ref="B730:C730"/>
    <mergeCell ref="B742:G742"/>
    <mergeCell ref="B748:G748"/>
    <mergeCell ref="B757:G757"/>
    <mergeCell ref="B758:C758"/>
    <mergeCell ref="D758:E758"/>
    <mergeCell ref="F758:G758"/>
    <mergeCell ref="B759:C759"/>
    <mergeCell ref="D759:E759"/>
    <mergeCell ref="F759:G759"/>
    <mergeCell ref="B760:C760"/>
    <mergeCell ref="D760:E760"/>
    <mergeCell ref="F760:G760"/>
    <mergeCell ref="B761:C761"/>
    <mergeCell ref="D772:E772"/>
    <mergeCell ref="G772:H777"/>
    <mergeCell ref="F708:G708"/>
    <mergeCell ref="B683:C683"/>
    <mergeCell ref="B684:C684"/>
    <mergeCell ref="B685:C685"/>
    <mergeCell ref="B686:C686"/>
    <mergeCell ref="B687:C687"/>
    <mergeCell ref="B689:G689"/>
    <mergeCell ref="B695:G695"/>
    <mergeCell ref="B704:G704"/>
    <mergeCell ref="B705:C705"/>
    <mergeCell ref="D705:E705"/>
    <mergeCell ref="F705:G705"/>
    <mergeCell ref="D828:E828"/>
    <mergeCell ref="B709:C709"/>
    <mergeCell ref="D709:E709"/>
    <mergeCell ref="F709:G709"/>
    <mergeCell ref="B706:C706"/>
    <mergeCell ref="D706:E706"/>
    <mergeCell ref="F706:G706"/>
    <mergeCell ref="B707:C707"/>
    <mergeCell ref="D707:E707"/>
    <mergeCell ref="F707:G707"/>
    <mergeCell ref="B708:C708"/>
    <mergeCell ref="D708:E708"/>
    <mergeCell ref="D761:E761"/>
    <mergeCell ref="F761:G761"/>
    <mergeCell ref="B762:C762"/>
    <mergeCell ref="D762:E762"/>
    <mergeCell ref="B792:C792"/>
    <mergeCell ref="B793:C793"/>
    <mergeCell ref="B801:G801"/>
    <mergeCell ref="B810:G810"/>
    <mergeCell ref="B888:C888"/>
    <mergeCell ref="B889:C889"/>
    <mergeCell ref="B890:C890"/>
    <mergeCell ref="B892:G892"/>
    <mergeCell ref="B893:C893"/>
    <mergeCell ref="B894:C894"/>
    <mergeCell ref="B866:C866"/>
    <mergeCell ref="D866:E866"/>
    <mergeCell ref="F866:G866"/>
    <mergeCell ref="B867:C867"/>
    <mergeCell ref="D867:E867"/>
    <mergeCell ref="F867:G867"/>
    <mergeCell ref="B842:C842"/>
    <mergeCell ref="B843:C843"/>
    <mergeCell ref="B844:C844"/>
    <mergeCell ref="B845:C845"/>
    <mergeCell ref="B846:C846"/>
    <mergeCell ref="B848:G848"/>
    <mergeCell ref="B854:G854"/>
    <mergeCell ref="B863:G863"/>
    <mergeCell ref="B864:C864"/>
    <mergeCell ref="D864:E864"/>
    <mergeCell ref="F864:G864"/>
    <mergeCell ref="B868:C868"/>
    <mergeCell ref="D868:E868"/>
    <mergeCell ref="F868:G868"/>
    <mergeCell ref="A878:B883"/>
    <mergeCell ref="C878:C879"/>
    <mergeCell ref="D878:E878"/>
    <mergeCell ref="G878:H883"/>
    <mergeCell ref="D879:E880"/>
    <mergeCell ref="F879:F880"/>
    <mergeCell ref="B940:G940"/>
    <mergeCell ref="B947:C947"/>
    <mergeCell ref="B948:C948"/>
    <mergeCell ref="B949:C949"/>
    <mergeCell ref="B950:C950"/>
    <mergeCell ref="B951:C951"/>
    <mergeCell ref="B952:C952"/>
    <mergeCell ref="B954:G954"/>
    <mergeCell ref="B960:G960"/>
    <mergeCell ref="B896:C896"/>
    <mergeCell ref="B897:C897"/>
    <mergeCell ref="B898:C898"/>
    <mergeCell ref="B899:C899"/>
    <mergeCell ref="B901:G901"/>
    <mergeCell ref="B907:G907"/>
    <mergeCell ref="B916:G916"/>
    <mergeCell ref="B917:C917"/>
    <mergeCell ref="D917:E917"/>
    <mergeCell ref="F917:G917"/>
    <mergeCell ref="B941:C941"/>
    <mergeCell ref="B942:C942"/>
    <mergeCell ref="B943:C943"/>
    <mergeCell ref="B945:G945"/>
    <mergeCell ref="B946:C946"/>
    <mergeCell ref="B1154:G1154"/>
    <mergeCell ref="B1155:C1155"/>
    <mergeCell ref="B1156:C1156"/>
    <mergeCell ref="B1130:G1130"/>
    <mergeCell ref="B1131:C1131"/>
    <mergeCell ref="D1131:E1131"/>
    <mergeCell ref="B1113:C1113"/>
    <mergeCell ref="B1115:G1115"/>
    <mergeCell ref="B1121:G1121"/>
    <mergeCell ref="B921:C921"/>
    <mergeCell ref="D921:E921"/>
    <mergeCell ref="F921:G921"/>
    <mergeCell ref="A1037:B1042"/>
    <mergeCell ref="C1037:C1038"/>
    <mergeCell ref="D1037:E1037"/>
    <mergeCell ref="G1037:H1042"/>
    <mergeCell ref="D1038:E1039"/>
    <mergeCell ref="F1038:F1039"/>
    <mergeCell ref="D1040:E1040"/>
    <mergeCell ref="C1041:C1042"/>
    <mergeCell ref="D1041:E1042"/>
    <mergeCell ref="A931:B936"/>
    <mergeCell ref="C931:C932"/>
    <mergeCell ref="D931:E931"/>
    <mergeCell ref="G931:H936"/>
    <mergeCell ref="D932:E933"/>
    <mergeCell ref="F932:F933"/>
    <mergeCell ref="D934:E934"/>
    <mergeCell ref="C935:C936"/>
    <mergeCell ref="D935:E936"/>
    <mergeCell ref="A937:H937"/>
    <mergeCell ref="B938:F938"/>
    <mergeCell ref="B1133:C1133"/>
    <mergeCell ref="D1133:E1133"/>
    <mergeCell ref="F1133:G1133"/>
    <mergeCell ref="B1110:C1110"/>
    <mergeCell ref="A1200:B1205"/>
    <mergeCell ref="B1111:C1111"/>
    <mergeCell ref="B1112:C1112"/>
    <mergeCell ref="D971:E971"/>
    <mergeCell ref="F971:G971"/>
    <mergeCell ref="B972:C972"/>
    <mergeCell ref="D972:E972"/>
    <mergeCell ref="F972:G972"/>
    <mergeCell ref="B1076:G1076"/>
    <mergeCell ref="B1077:C1077"/>
    <mergeCell ref="D1077:E1077"/>
    <mergeCell ref="F1077:G1077"/>
    <mergeCell ref="B1078:C1078"/>
    <mergeCell ref="D1078:E1078"/>
    <mergeCell ref="F1078:G1078"/>
    <mergeCell ref="A1097:H1097"/>
    <mergeCell ref="B1098:F1098"/>
    <mergeCell ref="B1100:G1100"/>
    <mergeCell ref="B1101:C1101"/>
    <mergeCell ref="B1102:C1102"/>
    <mergeCell ref="B1103:C1103"/>
    <mergeCell ref="B1105:G1105"/>
    <mergeCell ref="B1106:C1106"/>
    <mergeCell ref="B1107:C1107"/>
    <mergeCell ref="C1149:C1150"/>
    <mergeCell ref="D1149:E1150"/>
    <mergeCell ref="A1151:H1151"/>
    <mergeCell ref="B1152:F1152"/>
    <mergeCell ref="B973:C973"/>
    <mergeCell ref="D973:E973"/>
    <mergeCell ref="F973:G973"/>
    <mergeCell ref="B974:C974"/>
    <mergeCell ref="D974:E974"/>
    <mergeCell ref="F974:G974"/>
    <mergeCell ref="A984:B989"/>
    <mergeCell ref="C984:C985"/>
    <mergeCell ref="D984:E984"/>
    <mergeCell ref="G984:H989"/>
    <mergeCell ref="D985:E986"/>
    <mergeCell ref="F985:F986"/>
    <mergeCell ref="D987:E987"/>
    <mergeCell ref="F1131:G1131"/>
    <mergeCell ref="B1132:C1132"/>
    <mergeCell ref="D1132:E1132"/>
    <mergeCell ref="F1132:G1132"/>
    <mergeCell ref="B1005:C1005"/>
    <mergeCell ref="B1007:G1007"/>
    <mergeCell ref="A1043:H1043"/>
    <mergeCell ref="B1044:F1044"/>
    <mergeCell ref="B1046:G1046"/>
    <mergeCell ref="B1047:C1047"/>
    <mergeCell ref="B1048:C1048"/>
    <mergeCell ref="B1049:C1049"/>
    <mergeCell ref="B1051:G1051"/>
    <mergeCell ref="B1052:C1052"/>
    <mergeCell ref="B1053:C1053"/>
    <mergeCell ref="B1054:C1054"/>
    <mergeCell ref="B1055:C1055"/>
    <mergeCell ref="B1056:C1056"/>
    <mergeCell ref="B1058:C1058"/>
    <mergeCell ref="G1145:H1150"/>
    <mergeCell ref="D1146:E1147"/>
    <mergeCell ref="F1146:F1147"/>
    <mergeCell ref="D1148:E1148"/>
    <mergeCell ref="B1230:G1230"/>
    <mergeCell ref="B1161:C1161"/>
    <mergeCell ref="B1162:C1162"/>
    <mergeCell ref="B1163:C1163"/>
    <mergeCell ref="B1164:C1164"/>
    <mergeCell ref="B1165:C1165"/>
    <mergeCell ref="B1166:C1166"/>
    <mergeCell ref="B1167:C1167"/>
    <mergeCell ref="B1169:G1169"/>
    <mergeCell ref="B1175:G1175"/>
    <mergeCell ref="B1184:G1184"/>
    <mergeCell ref="B1188:C1188"/>
    <mergeCell ref="A1694:H1694"/>
    <mergeCell ref="B1218:C1218"/>
    <mergeCell ref="B1219:C1219"/>
    <mergeCell ref="B1220:C1220"/>
    <mergeCell ref="B1221:C1221"/>
    <mergeCell ref="B1222:C1222"/>
    <mergeCell ref="B1239:G1239"/>
    <mergeCell ref="F1346:G1346"/>
    <mergeCell ref="B1347:C1347"/>
    <mergeCell ref="D1347:E1347"/>
    <mergeCell ref="F1347:G1347"/>
    <mergeCell ref="B1348:C1348"/>
    <mergeCell ref="D1348:E1348"/>
    <mergeCell ref="F1348:G1348"/>
    <mergeCell ref="A1359:B1364"/>
    <mergeCell ref="B1214:G1214"/>
    <mergeCell ref="B1157:C1157"/>
    <mergeCell ref="F1187:G1187"/>
    <mergeCell ref="B1216:C1216"/>
    <mergeCell ref="B1217:C1217"/>
    <mergeCell ref="B1328:G1328"/>
    <mergeCell ref="B1334:G1334"/>
    <mergeCell ref="D1808:E1809"/>
    <mergeCell ref="D1307:E1307"/>
    <mergeCell ref="G1307:H1312"/>
    <mergeCell ref="D1308:E1309"/>
    <mergeCell ref="F1308:F1309"/>
    <mergeCell ref="D1310:E1310"/>
    <mergeCell ref="C1311:C1312"/>
    <mergeCell ref="F1448:G1448"/>
    <mergeCell ref="B1449:C1449"/>
    <mergeCell ref="D1449:E1449"/>
    <mergeCell ref="F1449:G1449"/>
    <mergeCell ref="C1200:C1201"/>
    <mergeCell ref="D1200:E1200"/>
    <mergeCell ref="G1200:H1205"/>
    <mergeCell ref="D1201:E1202"/>
    <mergeCell ref="F1201:F1202"/>
    <mergeCell ref="D1203:E1203"/>
    <mergeCell ref="C1204:C1205"/>
    <mergeCell ref="D1204:E1205"/>
    <mergeCell ref="A1206:H1206"/>
    <mergeCell ref="B1207:F1207"/>
    <mergeCell ref="B1209:G1209"/>
    <mergeCell ref="B1210:C1210"/>
    <mergeCell ref="B1211:C1211"/>
    <mergeCell ref="B1212:C1212"/>
    <mergeCell ref="A1804:B1809"/>
    <mergeCell ref="B1819:G1819"/>
    <mergeCell ref="B1820:C1820"/>
    <mergeCell ref="B1821:C1821"/>
    <mergeCell ref="B1822:C1822"/>
    <mergeCell ref="B1823:C1823"/>
    <mergeCell ref="B1824:C1824"/>
    <mergeCell ref="B1825:C1825"/>
    <mergeCell ref="B1826:C1826"/>
    <mergeCell ref="B1828:G1828"/>
    <mergeCell ref="B1697:G1697"/>
    <mergeCell ref="B1698:C1698"/>
    <mergeCell ref="B1699:C1699"/>
    <mergeCell ref="B1700:C1700"/>
    <mergeCell ref="B1702:G1702"/>
    <mergeCell ref="B1703:C1703"/>
    <mergeCell ref="B1704:C1704"/>
    <mergeCell ref="A1810:H1810"/>
    <mergeCell ref="B1814:C1814"/>
    <mergeCell ref="B1815:C1815"/>
    <mergeCell ref="B1816:C1816"/>
    <mergeCell ref="C1804:C1805"/>
    <mergeCell ref="D1804:E1804"/>
    <mergeCell ref="G1804:H1809"/>
    <mergeCell ref="D1805:E1806"/>
    <mergeCell ref="F1805:F1806"/>
    <mergeCell ref="B1813:G1813"/>
    <mergeCell ref="B1847:C1847"/>
    <mergeCell ref="D1847:E1847"/>
    <mergeCell ref="F1847:G1847"/>
    <mergeCell ref="B1848:C1848"/>
    <mergeCell ref="D1848:E1848"/>
    <mergeCell ref="F1848:G1848"/>
    <mergeCell ref="A1858:B1863"/>
    <mergeCell ref="C1858:C1859"/>
    <mergeCell ref="D1858:E1858"/>
    <mergeCell ref="G1858:H1863"/>
    <mergeCell ref="D1859:E1860"/>
    <mergeCell ref="F1859:F1860"/>
    <mergeCell ref="D1861:E1861"/>
    <mergeCell ref="C1862:C1863"/>
    <mergeCell ref="D1862:E1863"/>
    <mergeCell ref="B1834:G1834"/>
    <mergeCell ref="B1843:G1843"/>
    <mergeCell ref="B1844:C1844"/>
    <mergeCell ref="D1844:E1844"/>
    <mergeCell ref="F1844:G1844"/>
    <mergeCell ref="B1845:C1845"/>
    <mergeCell ref="D1845:E1845"/>
    <mergeCell ref="F1845:G1845"/>
    <mergeCell ref="B1846:C1846"/>
    <mergeCell ref="D1846:E1846"/>
    <mergeCell ref="F1846:G1846"/>
    <mergeCell ref="B1900:C1900"/>
    <mergeCell ref="D1900:E1900"/>
    <mergeCell ref="F1900:G1900"/>
    <mergeCell ref="B1875:C1875"/>
    <mergeCell ref="B1876:C1876"/>
    <mergeCell ref="B1877:C1877"/>
    <mergeCell ref="B1878:C1878"/>
    <mergeCell ref="B1879:C1879"/>
    <mergeCell ref="B1881:G1881"/>
    <mergeCell ref="B1887:G1887"/>
    <mergeCell ref="B1896:G1896"/>
    <mergeCell ref="B1897:C1897"/>
    <mergeCell ref="D1897:E1897"/>
    <mergeCell ref="F1897:G1897"/>
    <mergeCell ref="A1864:H1864"/>
    <mergeCell ref="B1865:F1865"/>
    <mergeCell ref="B1867:G1867"/>
    <mergeCell ref="B1868:C1868"/>
    <mergeCell ref="B1869:C1869"/>
    <mergeCell ref="B1870:C1870"/>
    <mergeCell ref="B1872:G1872"/>
    <mergeCell ref="B1873:C1873"/>
    <mergeCell ref="B1874:C1874"/>
    <mergeCell ref="A1964:B1969"/>
    <mergeCell ref="C1964:C1965"/>
    <mergeCell ref="D1964:E1964"/>
    <mergeCell ref="G1964:H1969"/>
    <mergeCell ref="D1965:E1966"/>
    <mergeCell ref="F1965:F1966"/>
    <mergeCell ref="D1967:E1967"/>
    <mergeCell ref="C1968:C1969"/>
    <mergeCell ref="D1968:E1969"/>
    <mergeCell ref="B1981:C1981"/>
    <mergeCell ref="B1982:C1982"/>
    <mergeCell ref="B1983:C1983"/>
    <mergeCell ref="B1984:C1984"/>
    <mergeCell ref="B1985:C1985"/>
    <mergeCell ref="A1970:H1970"/>
    <mergeCell ref="B1971:F1971"/>
    <mergeCell ref="B1973:G1973"/>
    <mergeCell ref="B1974:C1974"/>
    <mergeCell ref="B1975:C1975"/>
    <mergeCell ref="B1976:C1976"/>
    <mergeCell ref="B1978:G1978"/>
    <mergeCell ref="B1979:C1979"/>
    <mergeCell ref="B1980:C1980"/>
    <mergeCell ref="B2005:C2005"/>
    <mergeCell ref="D2005:E2005"/>
    <mergeCell ref="F2005:G2005"/>
    <mergeCell ref="D2183:E2184"/>
    <mergeCell ref="F2183:F2184"/>
    <mergeCell ref="D2185:E2185"/>
    <mergeCell ref="C2186:C2187"/>
    <mergeCell ref="D2186:E2187"/>
    <mergeCell ref="F2167:G2167"/>
    <mergeCell ref="B2168:C2168"/>
    <mergeCell ref="D2168:E2168"/>
    <mergeCell ref="F2168:G2168"/>
    <mergeCell ref="B2047:G2047"/>
    <mergeCell ref="B2056:G2056"/>
    <mergeCell ref="B2057:C2057"/>
    <mergeCell ref="D2057:E2057"/>
    <mergeCell ref="F2057:G2057"/>
    <mergeCell ref="B2058:C2058"/>
    <mergeCell ref="D2076:E2077"/>
    <mergeCell ref="A2078:H2078"/>
    <mergeCell ref="B2091:C2091"/>
    <mergeCell ref="D2167:E2167"/>
    <mergeCell ref="A2072:B2077"/>
    <mergeCell ref="C2072:C2073"/>
    <mergeCell ref="D2072:E2072"/>
    <mergeCell ref="G2072:H2077"/>
    <mergeCell ref="D2073:E2074"/>
    <mergeCell ref="F2073:F2074"/>
    <mergeCell ref="D2075:E2075"/>
    <mergeCell ref="C2076:C2077"/>
    <mergeCell ref="B2006:C2006"/>
    <mergeCell ref="D2006:E2006"/>
    <mergeCell ref="F2006:G2006"/>
    <mergeCell ref="B2059:C2059"/>
    <mergeCell ref="D2059:E2059"/>
    <mergeCell ref="F2059:G2059"/>
    <mergeCell ref="B2060:C2060"/>
    <mergeCell ref="D2060:E2060"/>
    <mergeCell ref="F2060:G2060"/>
    <mergeCell ref="A2134:H2134"/>
    <mergeCell ref="B2135:F2135"/>
    <mergeCell ref="B2137:G2137"/>
    <mergeCell ref="B2138:C2138"/>
    <mergeCell ref="B2139:C2139"/>
    <mergeCell ref="B2088:C2088"/>
    <mergeCell ref="B2089:C2089"/>
    <mergeCell ref="B2090:C2090"/>
    <mergeCell ref="D2114:E2114"/>
    <mergeCell ref="F2114:G2114"/>
    <mergeCell ref="F2058:G2058"/>
    <mergeCell ref="B2061:C2061"/>
    <mergeCell ref="D2061:E2061"/>
    <mergeCell ref="F2061:G2061"/>
    <mergeCell ref="B2007:C2007"/>
    <mergeCell ref="B2038:C2038"/>
    <mergeCell ref="B2039:C2039"/>
    <mergeCell ref="B2041:G2041"/>
    <mergeCell ref="D2022:E2023"/>
    <mergeCell ref="B2115:C2115"/>
    <mergeCell ref="D2115:E2115"/>
    <mergeCell ref="F2115:G2115"/>
    <mergeCell ref="B2116:C2116"/>
    <mergeCell ref="B2096:G2096"/>
    <mergeCell ref="B2102:G2102"/>
    <mergeCell ref="D2182:E2182"/>
    <mergeCell ref="G2182:H2187"/>
    <mergeCell ref="A2127:B2132"/>
    <mergeCell ref="C2127:C2128"/>
    <mergeCell ref="D2127:E2127"/>
    <mergeCell ref="G2127:H2132"/>
    <mergeCell ref="D2128:E2129"/>
    <mergeCell ref="F2128:F2129"/>
    <mergeCell ref="D2130:E2130"/>
    <mergeCell ref="C2131:C2132"/>
    <mergeCell ref="D2131:E2132"/>
    <mergeCell ref="F2277:G2277"/>
    <mergeCell ref="B2252:C2252"/>
    <mergeCell ref="B2253:C2253"/>
    <mergeCell ref="B2254:C2254"/>
    <mergeCell ref="B2255:C2255"/>
    <mergeCell ref="B2256:C2256"/>
    <mergeCell ref="B2258:G2258"/>
    <mergeCell ref="B2264:G2264"/>
    <mergeCell ref="B2273:G2273"/>
    <mergeCell ref="B2274:C2274"/>
    <mergeCell ref="D2274:E2274"/>
    <mergeCell ref="F2274:G2274"/>
    <mergeCell ref="A2241:H2241"/>
    <mergeCell ref="B2198:C2198"/>
    <mergeCell ref="A2182:B2187"/>
    <mergeCell ref="B2242:F2242"/>
    <mergeCell ref="B2193:C2193"/>
    <mergeCell ref="B2149:C2149"/>
    <mergeCell ref="B2151:G2151"/>
    <mergeCell ref="B2157:G2157"/>
    <mergeCell ref="B2167:C2167"/>
    <mergeCell ref="B524:C524"/>
    <mergeCell ref="B525:C525"/>
    <mergeCell ref="B526:C526"/>
    <mergeCell ref="B527:C527"/>
    <mergeCell ref="B1057:C1057"/>
    <mergeCell ref="B1159:G1159"/>
    <mergeCell ref="B1160:C1160"/>
    <mergeCell ref="D1189:E1189"/>
    <mergeCell ref="F1189:G1189"/>
    <mergeCell ref="B1185:C1185"/>
    <mergeCell ref="D1185:E1185"/>
    <mergeCell ref="F1185:G1185"/>
    <mergeCell ref="B1186:C1186"/>
    <mergeCell ref="D1186:E1186"/>
    <mergeCell ref="F1186:G1186"/>
    <mergeCell ref="B1187:C1187"/>
    <mergeCell ref="D1187:E1187"/>
    <mergeCell ref="B795:G795"/>
    <mergeCell ref="B813:C813"/>
    <mergeCell ref="D813:E813"/>
    <mergeCell ref="F813:G813"/>
    <mergeCell ref="B814:C814"/>
    <mergeCell ref="D814:E814"/>
    <mergeCell ref="F814:G814"/>
    <mergeCell ref="B815:C815"/>
    <mergeCell ref="D970:E970"/>
    <mergeCell ref="F970:G970"/>
    <mergeCell ref="B971:C971"/>
    <mergeCell ref="D812:E812"/>
    <mergeCell ref="F812:G812"/>
    <mergeCell ref="D1188:E1188"/>
    <mergeCell ref="F1188:G1188"/>
    <mergeCell ref="D815:E815"/>
    <mergeCell ref="F815:G815"/>
    <mergeCell ref="B779:F779"/>
    <mergeCell ref="B783:C783"/>
    <mergeCell ref="B784:C784"/>
    <mergeCell ref="B786:G786"/>
    <mergeCell ref="B787:C787"/>
    <mergeCell ref="B1243:C1243"/>
    <mergeCell ref="D1243:E1243"/>
    <mergeCell ref="F1243:G1243"/>
    <mergeCell ref="F1240:G1240"/>
    <mergeCell ref="B1241:C1241"/>
    <mergeCell ref="D1241:E1241"/>
    <mergeCell ref="F1241:G1241"/>
    <mergeCell ref="B1242:C1242"/>
    <mergeCell ref="D1242:E1242"/>
    <mergeCell ref="B1134:C1134"/>
    <mergeCell ref="D1134:E1134"/>
    <mergeCell ref="F1134:G1134"/>
    <mergeCell ref="B1135:C1135"/>
    <mergeCell ref="D1135:E1135"/>
    <mergeCell ref="F1135:G1135"/>
    <mergeCell ref="A1145:B1150"/>
    <mergeCell ref="C1145:C1146"/>
    <mergeCell ref="D1145:E1145"/>
    <mergeCell ref="B1224:G1224"/>
    <mergeCell ref="B1215:C1215"/>
    <mergeCell ref="B969:G969"/>
    <mergeCell ref="B970:C970"/>
    <mergeCell ref="B1240:C1240"/>
    <mergeCell ref="D1240:E1240"/>
    <mergeCell ref="B1189:C1189"/>
    <mergeCell ref="F1242:G1242"/>
    <mergeCell ref="B1345:C1345"/>
    <mergeCell ref="D1345:E1345"/>
    <mergeCell ref="F1345:G1345"/>
    <mergeCell ref="F1396:G1396"/>
    <mergeCell ref="B1346:C1346"/>
    <mergeCell ref="D1346:E1346"/>
    <mergeCell ref="B1324:C1324"/>
    <mergeCell ref="B1325:C1325"/>
    <mergeCell ref="B1326:C1326"/>
    <mergeCell ref="C1307:C1308"/>
    <mergeCell ref="B1291:G1291"/>
    <mergeCell ref="B1292:C1292"/>
    <mergeCell ref="D1292:E1292"/>
    <mergeCell ref="F1292:G1292"/>
    <mergeCell ref="B1293:C1293"/>
    <mergeCell ref="F1294:G1294"/>
    <mergeCell ref="B1295:C1295"/>
    <mergeCell ref="D1295:E1295"/>
    <mergeCell ref="F1295:G1295"/>
    <mergeCell ref="B1321:G1321"/>
    <mergeCell ref="B1322:C1322"/>
    <mergeCell ref="B1323:C1323"/>
    <mergeCell ref="B1343:G1343"/>
    <mergeCell ref="B1344:C1344"/>
    <mergeCell ref="D1293:E1293"/>
    <mergeCell ref="F1293:G1293"/>
    <mergeCell ref="B1272:C1272"/>
    <mergeCell ref="B1273:C1273"/>
    <mergeCell ref="B1274:C1274"/>
    <mergeCell ref="B1276:G1276"/>
    <mergeCell ref="B1282:G1282"/>
    <mergeCell ref="B1657:G1657"/>
    <mergeCell ref="B1655:C1655"/>
    <mergeCell ref="B1652:C1652"/>
    <mergeCell ref="B1653:C1653"/>
    <mergeCell ref="B1654:C1654"/>
    <mergeCell ref="F1674:G1674"/>
    <mergeCell ref="B1675:C1675"/>
    <mergeCell ref="D1675:E1675"/>
    <mergeCell ref="B1676:C1676"/>
    <mergeCell ref="D1676:E1676"/>
    <mergeCell ref="B1663:G1663"/>
    <mergeCell ref="D1294:E1294"/>
    <mergeCell ref="B1317:C1317"/>
    <mergeCell ref="B1318:C1318"/>
    <mergeCell ref="B1319:C1319"/>
    <mergeCell ref="B1244:C1244"/>
    <mergeCell ref="D1244:E1244"/>
    <mergeCell ref="F1244:G1244"/>
    <mergeCell ref="D1521:E1522"/>
    <mergeCell ref="B1505:C1505"/>
    <mergeCell ref="B1589:C1589"/>
    <mergeCell ref="B1590:C1590"/>
    <mergeCell ref="B1592:G1592"/>
    <mergeCell ref="F1344:G1344"/>
    <mergeCell ref="A1584:H1584"/>
    <mergeCell ref="C1359:C1360"/>
    <mergeCell ref="D1359:E1359"/>
    <mergeCell ref="G1359:H1364"/>
    <mergeCell ref="D1360:E1361"/>
    <mergeCell ref="F1360:F1361"/>
    <mergeCell ref="D1362:E1362"/>
    <mergeCell ref="C1363:C1364"/>
    <mergeCell ref="B1705:C1705"/>
    <mergeCell ref="B1706:C1706"/>
    <mergeCell ref="B1707:C1707"/>
    <mergeCell ref="B1708:C1708"/>
    <mergeCell ref="B1709:C1709"/>
    <mergeCell ref="B1710:C1710"/>
    <mergeCell ref="B1712:G1712"/>
    <mergeCell ref="B1718:G1718"/>
    <mergeCell ref="B1727:G1727"/>
    <mergeCell ref="A1688:B1693"/>
    <mergeCell ref="C1688:C1689"/>
    <mergeCell ref="D1688:E1688"/>
    <mergeCell ref="G1688:H1693"/>
    <mergeCell ref="D1689:E1690"/>
    <mergeCell ref="F1689:F1690"/>
    <mergeCell ref="D1691:E1691"/>
    <mergeCell ref="C1692:C1693"/>
    <mergeCell ref="D1692:E1693"/>
    <mergeCell ref="B1695:F1695"/>
    <mergeCell ref="B2199:C2199"/>
    <mergeCell ref="B2200:C2200"/>
    <mergeCell ref="D2239:E2240"/>
    <mergeCell ref="B2222:C2222"/>
    <mergeCell ref="D2222:E2222"/>
    <mergeCell ref="F2221:G2221"/>
    <mergeCell ref="B2037:C2037"/>
    <mergeCell ref="B1987:G1987"/>
    <mergeCell ref="B1993:G1993"/>
    <mergeCell ref="D2003:E2003"/>
    <mergeCell ref="F2003:G2003"/>
    <mergeCell ref="B2166:G2166"/>
    <mergeCell ref="D2007:E2007"/>
    <mergeCell ref="F2007:G2007"/>
    <mergeCell ref="B1817:C1817"/>
    <mergeCell ref="D1731:E1731"/>
    <mergeCell ref="B1728:C1728"/>
    <mergeCell ref="D1728:E1728"/>
    <mergeCell ref="F1728:G1728"/>
    <mergeCell ref="B1729:C1729"/>
    <mergeCell ref="D1729:E1729"/>
    <mergeCell ref="F1729:G1729"/>
    <mergeCell ref="B1730:C1730"/>
    <mergeCell ref="D1730:E1730"/>
    <mergeCell ref="F1730:G1730"/>
    <mergeCell ref="B2004:C2004"/>
    <mergeCell ref="D2004:E2004"/>
    <mergeCell ref="F2004:G2004"/>
    <mergeCell ref="B2140:C2140"/>
    <mergeCell ref="B2142:G2142"/>
    <mergeCell ref="B2143:C2143"/>
    <mergeCell ref="C2182:C2183"/>
    <mergeCell ref="B2302:G2302"/>
    <mergeCell ref="B2303:C2303"/>
    <mergeCell ref="B2304:C2304"/>
    <mergeCell ref="A2288:B2293"/>
    <mergeCell ref="C2288:C2289"/>
    <mergeCell ref="D2288:E2288"/>
    <mergeCell ref="B2251:C2251"/>
    <mergeCell ref="D2289:E2290"/>
    <mergeCell ref="F2289:F2290"/>
    <mergeCell ref="D2291:E2291"/>
    <mergeCell ref="C2292:C2293"/>
    <mergeCell ref="D2292:E2293"/>
    <mergeCell ref="B2306:C2306"/>
    <mergeCell ref="B2307:C2307"/>
    <mergeCell ref="B2308:C2308"/>
    <mergeCell ref="B2305:C2305"/>
    <mergeCell ref="B1731:C1731"/>
    <mergeCell ref="B2225:C2225"/>
    <mergeCell ref="D2225:E2225"/>
    <mergeCell ref="F2225:G2225"/>
    <mergeCell ref="A2235:B2240"/>
    <mergeCell ref="C2235:C2236"/>
    <mergeCell ref="D2235:E2235"/>
    <mergeCell ref="G2235:H2240"/>
    <mergeCell ref="D2221:E2221"/>
    <mergeCell ref="F2222:G2222"/>
    <mergeCell ref="B2223:C2223"/>
    <mergeCell ref="D2223:E2223"/>
    <mergeCell ref="F2223:G2223"/>
    <mergeCell ref="B2224:C2224"/>
    <mergeCell ref="D2224:E2224"/>
    <mergeCell ref="F2224:G2224"/>
    <mergeCell ref="A2448:B2453"/>
    <mergeCell ref="C2448:C2449"/>
    <mergeCell ref="D2448:E2448"/>
    <mergeCell ref="G2448:H2453"/>
    <mergeCell ref="D2449:E2450"/>
    <mergeCell ref="F2449:F2450"/>
    <mergeCell ref="D2451:E2451"/>
    <mergeCell ref="C2452:C2453"/>
    <mergeCell ref="D2452:E2453"/>
    <mergeCell ref="B2331:C2331"/>
    <mergeCell ref="D2331:E2331"/>
    <mergeCell ref="F2331:G2331"/>
    <mergeCell ref="A2341:H2341"/>
    <mergeCell ref="B2295:F2295"/>
    <mergeCell ref="B2027:G2027"/>
    <mergeCell ref="B2028:C2028"/>
    <mergeCell ref="B2029:C2029"/>
    <mergeCell ref="B2030:C2030"/>
    <mergeCell ref="B2032:G2032"/>
    <mergeCell ref="B2033:C2033"/>
    <mergeCell ref="B2034:C2034"/>
    <mergeCell ref="B2035:C2035"/>
    <mergeCell ref="B2036:C2036"/>
    <mergeCell ref="D2278:E2278"/>
    <mergeCell ref="B2328:C2328"/>
    <mergeCell ref="B2249:G2249"/>
    <mergeCell ref="B2250:C2250"/>
    <mergeCell ref="B2379:C2379"/>
    <mergeCell ref="D2379:E2379"/>
    <mergeCell ref="D2327:E2327"/>
    <mergeCell ref="F2327:G2327"/>
    <mergeCell ref="A2294:H2294"/>
    <mergeCell ref="B2361:C2361"/>
    <mergeCell ref="B2363:G2363"/>
    <mergeCell ref="B2079:F2079"/>
    <mergeCell ref="B2081:G2081"/>
    <mergeCell ref="B2082:C2082"/>
    <mergeCell ref="B2083:C2083"/>
    <mergeCell ref="B2084:C2084"/>
    <mergeCell ref="B2086:G2086"/>
    <mergeCell ref="B2369:G2369"/>
    <mergeCell ref="B2358:C2358"/>
    <mergeCell ref="B2378:G2378"/>
    <mergeCell ref="A2348:H2348"/>
    <mergeCell ref="B2349:F2349"/>
    <mergeCell ref="B2351:G2351"/>
    <mergeCell ref="B2352:C2352"/>
    <mergeCell ref="B2353:C2353"/>
    <mergeCell ref="B2354:C2354"/>
    <mergeCell ref="B2356:G2356"/>
    <mergeCell ref="B2359:C2359"/>
    <mergeCell ref="B2360:C2360"/>
    <mergeCell ref="F2278:G2278"/>
    <mergeCell ref="B2246:C2246"/>
    <mergeCell ref="B2247:C2247"/>
    <mergeCell ref="D2116:E2116"/>
    <mergeCell ref="F2116:G2116"/>
    <mergeCell ref="B2094:C2094"/>
    <mergeCell ref="B2087:C2087"/>
    <mergeCell ref="B2357:C2357"/>
    <mergeCell ref="D2328:E2328"/>
    <mergeCell ref="B2205:G2205"/>
    <mergeCell ref="B2211:G2211"/>
    <mergeCell ref="B2220:G2220"/>
    <mergeCell ref="B2466:C2466"/>
    <mergeCell ref="B2467:C2467"/>
    <mergeCell ref="B2468:C2468"/>
    <mergeCell ref="B2469:C2469"/>
    <mergeCell ref="B2471:G2471"/>
    <mergeCell ref="B2477:G2477"/>
    <mergeCell ref="B2486:G2486"/>
    <mergeCell ref="B2487:C2487"/>
    <mergeCell ref="D2487:E2487"/>
    <mergeCell ref="F2487:G2487"/>
    <mergeCell ref="A2454:H2454"/>
    <mergeCell ref="B2455:F2455"/>
    <mergeCell ref="B2457:G2457"/>
    <mergeCell ref="B2458:C2458"/>
    <mergeCell ref="B2459:C2459"/>
    <mergeCell ref="B2460:C2460"/>
    <mergeCell ref="B2462:G2462"/>
    <mergeCell ref="B2463:C2463"/>
    <mergeCell ref="B2464:C2464"/>
    <mergeCell ref="B2465:C2465"/>
    <mergeCell ref="B2491:C2491"/>
    <mergeCell ref="D2491:E2491"/>
    <mergeCell ref="F2491:G2491"/>
    <mergeCell ref="A2501:B2506"/>
    <mergeCell ref="C2501:C2502"/>
    <mergeCell ref="D2501:E2501"/>
    <mergeCell ref="G2501:H2506"/>
    <mergeCell ref="D2502:E2503"/>
    <mergeCell ref="F2502:F2503"/>
    <mergeCell ref="D2504:E2504"/>
    <mergeCell ref="C2505:C2506"/>
    <mergeCell ref="D2505:E2506"/>
    <mergeCell ref="B2488:C2488"/>
    <mergeCell ref="D2488:E2488"/>
    <mergeCell ref="F2488:G2488"/>
    <mergeCell ref="B2489:C2489"/>
    <mergeCell ref="D2489:E2489"/>
    <mergeCell ref="F2489:G2489"/>
    <mergeCell ref="B2490:C2490"/>
    <mergeCell ref="D2490:E2490"/>
    <mergeCell ref="F2490:G2490"/>
    <mergeCell ref="B2518:C2518"/>
    <mergeCell ref="B2519:C2519"/>
    <mergeCell ref="B2520:C2520"/>
    <mergeCell ref="B2521:C2521"/>
    <mergeCell ref="B2522:C2522"/>
    <mergeCell ref="B2524:G2524"/>
    <mergeCell ref="B2530:G2530"/>
    <mergeCell ref="B2539:G2539"/>
    <mergeCell ref="B2540:C2540"/>
    <mergeCell ref="D2540:E2540"/>
    <mergeCell ref="F2540:G2540"/>
    <mergeCell ref="A2507:H2507"/>
    <mergeCell ref="B2508:F2508"/>
    <mergeCell ref="B2510:G2510"/>
    <mergeCell ref="B2511:C2511"/>
    <mergeCell ref="B2512:C2512"/>
    <mergeCell ref="B2513:C2513"/>
    <mergeCell ref="B2515:G2515"/>
    <mergeCell ref="B2516:C2516"/>
    <mergeCell ref="B2517:C2517"/>
    <mergeCell ref="B2544:C2544"/>
    <mergeCell ref="D2544:E2544"/>
    <mergeCell ref="F2544:G2544"/>
    <mergeCell ref="A2554:B2559"/>
    <mergeCell ref="C2554:C2555"/>
    <mergeCell ref="D2554:E2554"/>
    <mergeCell ref="G2554:H2559"/>
    <mergeCell ref="D2555:E2556"/>
    <mergeCell ref="F2555:F2556"/>
    <mergeCell ref="D2557:E2557"/>
    <mergeCell ref="C2558:C2559"/>
    <mergeCell ref="D2558:E2559"/>
    <mergeCell ref="B2541:C2541"/>
    <mergeCell ref="D2541:E2541"/>
    <mergeCell ref="F2541:G2541"/>
    <mergeCell ref="B2542:C2542"/>
    <mergeCell ref="D2542:E2542"/>
    <mergeCell ref="F2542:G2542"/>
    <mergeCell ref="B2543:C2543"/>
    <mergeCell ref="D2543:E2543"/>
    <mergeCell ref="F2543:G2543"/>
    <mergeCell ref="B2571:C2571"/>
    <mergeCell ref="B2572:C2572"/>
    <mergeCell ref="B2573:C2573"/>
    <mergeCell ref="B2574:C2574"/>
    <mergeCell ref="B2575:C2575"/>
    <mergeCell ref="B2577:G2577"/>
    <mergeCell ref="B2583:G2583"/>
    <mergeCell ref="B2592:G2592"/>
    <mergeCell ref="B2593:C2593"/>
    <mergeCell ref="D2593:E2593"/>
    <mergeCell ref="F2593:G2593"/>
    <mergeCell ref="A2560:H2560"/>
    <mergeCell ref="B2561:F2561"/>
    <mergeCell ref="B2563:G2563"/>
    <mergeCell ref="B2564:C2564"/>
    <mergeCell ref="B2565:C2565"/>
    <mergeCell ref="B2566:C2566"/>
    <mergeCell ref="B2568:G2568"/>
    <mergeCell ref="B2569:C2569"/>
    <mergeCell ref="B2570:C2570"/>
    <mergeCell ref="B2597:C2597"/>
    <mergeCell ref="D2597:E2597"/>
    <mergeCell ref="F2597:G2597"/>
    <mergeCell ref="A2715:B2720"/>
    <mergeCell ref="C2715:C2716"/>
    <mergeCell ref="D2715:E2715"/>
    <mergeCell ref="G2715:H2720"/>
    <mergeCell ref="D2716:E2717"/>
    <mergeCell ref="F2716:F2717"/>
    <mergeCell ref="D2718:E2718"/>
    <mergeCell ref="C2719:C2720"/>
    <mergeCell ref="D2719:E2720"/>
    <mergeCell ref="B2594:C2594"/>
    <mergeCell ref="D2594:E2594"/>
    <mergeCell ref="F2594:G2594"/>
    <mergeCell ref="B2595:C2595"/>
    <mergeCell ref="D2595:E2595"/>
    <mergeCell ref="F2595:G2595"/>
    <mergeCell ref="B2596:C2596"/>
    <mergeCell ref="D2596:E2596"/>
    <mergeCell ref="F2596:G2596"/>
    <mergeCell ref="F2651:G2651"/>
    <mergeCell ref="A2662:B2667"/>
    <mergeCell ref="C2662:C2663"/>
    <mergeCell ref="D2662:E2662"/>
    <mergeCell ref="G2662:H2667"/>
    <mergeCell ref="D2663:E2664"/>
    <mergeCell ref="F2663:F2664"/>
    <mergeCell ref="D2665:E2665"/>
    <mergeCell ref="C2666:C2667"/>
    <mergeCell ref="D2666:E2667"/>
    <mergeCell ref="A2668:H2668"/>
    <mergeCell ref="B2732:C2732"/>
    <mergeCell ref="B2733:C2733"/>
    <mergeCell ref="B2734:C2734"/>
    <mergeCell ref="B2735:C2735"/>
    <mergeCell ref="B2736:C2736"/>
    <mergeCell ref="B2739:G2739"/>
    <mergeCell ref="B2745:G2745"/>
    <mergeCell ref="B2754:G2754"/>
    <mergeCell ref="B2755:C2755"/>
    <mergeCell ref="D2755:E2755"/>
    <mergeCell ref="F2755:G2755"/>
    <mergeCell ref="A2721:H2721"/>
    <mergeCell ref="B2722:F2722"/>
    <mergeCell ref="B2724:G2724"/>
    <mergeCell ref="B2725:C2725"/>
    <mergeCell ref="B2726:C2726"/>
    <mergeCell ref="B2727:C2727"/>
    <mergeCell ref="B2729:G2729"/>
    <mergeCell ref="B2730:C2730"/>
    <mergeCell ref="B2731:C2731"/>
    <mergeCell ref="A2775:H2775"/>
    <mergeCell ref="B2776:F2776"/>
    <mergeCell ref="B2778:G2778"/>
    <mergeCell ref="B2779:C2779"/>
    <mergeCell ref="B2780:C2780"/>
    <mergeCell ref="B2781:C2781"/>
    <mergeCell ref="B2783:G2783"/>
    <mergeCell ref="B2784:C2784"/>
    <mergeCell ref="B2785:C2785"/>
    <mergeCell ref="B2759:C2759"/>
    <mergeCell ref="D2759:E2759"/>
    <mergeCell ref="F2759:G2759"/>
    <mergeCell ref="B2737:C2737"/>
    <mergeCell ref="A2769:B2774"/>
    <mergeCell ref="C2769:C2770"/>
    <mergeCell ref="D2769:E2769"/>
    <mergeCell ref="G2769:H2774"/>
    <mergeCell ref="D2770:E2771"/>
    <mergeCell ref="F2770:F2771"/>
    <mergeCell ref="D2772:E2772"/>
    <mergeCell ref="C2773:C2774"/>
    <mergeCell ref="D2773:E2774"/>
    <mergeCell ref="B2756:C2756"/>
    <mergeCell ref="D2756:E2756"/>
    <mergeCell ref="F2756:G2756"/>
    <mergeCell ref="B2757:C2757"/>
    <mergeCell ref="D2757:E2757"/>
    <mergeCell ref="F2757:G2757"/>
    <mergeCell ref="B2758:C2758"/>
    <mergeCell ref="D2758:E2758"/>
    <mergeCell ref="F2758:G2758"/>
    <mergeCell ref="B2812:C2812"/>
    <mergeCell ref="D2812:E2812"/>
    <mergeCell ref="F2812:G2812"/>
    <mergeCell ref="B2813:C2813"/>
    <mergeCell ref="D2813:E2813"/>
    <mergeCell ref="F2813:G2813"/>
    <mergeCell ref="B2809:C2809"/>
    <mergeCell ref="D2809:E2809"/>
    <mergeCell ref="F2809:G2809"/>
    <mergeCell ref="B2810:C2810"/>
    <mergeCell ref="D2810:E2810"/>
    <mergeCell ref="F2810:G2810"/>
    <mergeCell ref="B2811:C2811"/>
    <mergeCell ref="D2811:E2811"/>
    <mergeCell ref="F2811:G2811"/>
    <mergeCell ref="B2786:C2786"/>
    <mergeCell ref="B2787:C2787"/>
    <mergeCell ref="B2788:C2788"/>
    <mergeCell ref="B2789:C2789"/>
    <mergeCell ref="B2790:C2790"/>
    <mergeCell ref="B2791:C2791"/>
    <mergeCell ref="B2793:G2793"/>
    <mergeCell ref="B2799:G2799"/>
    <mergeCell ref="B2808:G2808"/>
    <mergeCell ref="A2824:B2829"/>
    <mergeCell ref="C2824:C2825"/>
    <mergeCell ref="D2824:E2824"/>
    <mergeCell ref="G2824:H2829"/>
    <mergeCell ref="D2825:E2826"/>
    <mergeCell ref="F2825:F2826"/>
    <mergeCell ref="D2827:E2827"/>
    <mergeCell ref="C2828:C2829"/>
    <mergeCell ref="D2828:E2829"/>
    <mergeCell ref="A2830:H2830"/>
    <mergeCell ref="B2831:F2831"/>
    <mergeCell ref="B2833:G2833"/>
    <mergeCell ref="B2834:C2834"/>
    <mergeCell ref="B2835:C2835"/>
    <mergeCell ref="B2838:C2838"/>
    <mergeCell ref="B2840:G2840"/>
    <mergeCell ref="B2841:C2841"/>
    <mergeCell ref="B2864:C2864"/>
    <mergeCell ref="D2864:E2864"/>
    <mergeCell ref="F2864:G2864"/>
    <mergeCell ref="B2865:C2865"/>
    <mergeCell ref="D2865:E2865"/>
    <mergeCell ref="F2865:G2865"/>
    <mergeCell ref="B2836:C2836"/>
    <mergeCell ref="A2876:B2881"/>
    <mergeCell ref="C2876:C2877"/>
    <mergeCell ref="D2876:E2876"/>
    <mergeCell ref="G2876:H2881"/>
    <mergeCell ref="D2877:E2878"/>
    <mergeCell ref="F2877:F2878"/>
    <mergeCell ref="D2879:E2879"/>
    <mergeCell ref="C2880:C2881"/>
    <mergeCell ref="D2880:E2881"/>
    <mergeCell ref="A2882:H2882"/>
    <mergeCell ref="B2842:C2842"/>
    <mergeCell ref="B2843:C2843"/>
    <mergeCell ref="B2845:G2845"/>
    <mergeCell ref="B2851:G2851"/>
    <mergeCell ref="B2860:G2860"/>
    <mergeCell ref="B2861:C2861"/>
    <mergeCell ref="D2861:E2861"/>
    <mergeCell ref="F2861:G2861"/>
    <mergeCell ref="B2862:C2862"/>
    <mergeCell ref="D2862:E2862"/>
    <mergeCell ref="F2862:G2862"/>
    <mergeCell ref="B2863:C2863"/>
    <mergeCell ref="D2863:E2863"/>
    <mergeCell ref="F2863:G2863"/>
    <mergeCell ref="B2837:C2837"/>
    <mergeCell ref="B2885:G2885"/>
    <mergeCell ref="B2886:C2886"/>
    <mergeCell ref="B2887:C2887"/>
    <mergeCell ref="B2888:C2888"/>
    <mergeCell ref="B2889:C2889"/>
    <mergeCell ref="B2892:G2892"/>
    <mergeCell ref="B2893:C2893"/>
    <mergeCell ref="B2894:C2894"/>
    <mergeCell ref="B2895:C2895"/>
    <mergeCell ref="B2897:G2897"/>
    <mergeCell ref="B2903:G2903"/>
    <mergeCell ref="B2912:G2912"/>
    <mergeCell ref="B2913:C2913"/>
    <mergeCell ref="D2913:E2913"/>
    <mergeCell ref="F2913:G2913"/>
    <mergeCell ref="B2914:C2914"/>
    <mergeCell ref="D2914:E2914"/>
    <mergeCell ref="F2914:G2914"/>
    <mergeCell ref="B2890:C2890"/>
    <mergeCell ref="D108:E109"/>
    <mergeCell ref="B2915:C2915"/>
    <mergeCell ref="D2915:E2915"/>
    <mergeCell ref="F2915:G2915"/>
    <mergeCell ref="B2916:C2916"/>
    <mergeCell ref="D2916:E2916"/>
    <mergeCell ref="F2916:G2916"/>
    <mergeCell ref="B2917:C2917"/>
    <mergeCell ref="D2917:E2917"/>
    <mergeCell ref="F2917:G2917"/>
    <mergeCell ref="A54:B59"/>
    <mergeCell ref="C54:C55"/>
    <mergeCell ref="D54:E54"/>
    <mergeCell ref="G54:H59"/>
    <mergeCell ref="D55:E56"/>
    <mergeCell ref="F55:F56"/>
    <mergeCell ref="D57:E57"/>
    <mergeCell ref="C58:C59"/>
    <mergeCell ref="D58:E59"/>
    <mergeCell ref="A60:H60"/>
    <mergeCell ref="B61:F61"/>
    <mergeCell ref="B63:G63"/>
    <mergeCell ref="B64:C64"/>
    <mergeCell ref="B65:C65"/>
    <mergeCell ref="B66:C66"/>
    <mergeCell ref="B68:G68"/>
    <mergeCell ref="B69:C69"/>
    <mergeCell ref="B70:C70"/>
    <mergeCell ref="B71:C71"/>
    <mergeCell ref="B73:G73"/>
    <mergeCell ref="B79:G79"/>
    <mergeCell ref="B2883:F2883"/>
    <mergeCell ref="A110:H110"/>
    <mergeCell ref="B111:F111"/>
    <mergeCell ref="B113:G113"/>
    <mergeCell ref="B114:C114"/>
    <mergeCell ref="B115:C115"/>
    <mergeCell ref="B116:C116"/>
    <mergeCell ref="B118:G118"/>
    <mergeCell ref="B119:C119"/>
    <mergeCell ref="B120:C120"/>
    <mergeCell ref="B121:C121"/>
    <mergeCell ref="B123:G123"/>
    <mergeCell ref="B129:G129"/>
    <mergeCell ref="B138:G138"/>
    <mergeCell ref="B139:C139"/>
    <mergeCell ref="D139:E139"/>
    <mergeCell ref="F139:G139"/>
    <mergeCell ref="D91:E91"/>
    <mergeCell ref="F91:G91"/>
    <mergeCell ref="B92:C92"/>
    <mergeCell ref="D92:E92"/>
    <mergeCell ref="F92:G92"/>
    <mergeCell ref="B93:C93"/>
    <mergeCell ref="D93:E93"/>
    <mergeCell ref="F93:G93"/>
    <mergeCell ref="A104:B109"/>
    <mergeCell ref="C104:C105"/>
    <mergeCell ref="D104:E104"/>
    <mergeCell ref="G104:H109"/>
    <mergeCell ref="D105:E106"/>
    <mergeCell ref="F105:F106"/>
    <mergeCell ref="D107:E107"/>
    <mergeCell ref="C108:C109"/>
    <mergeCell ref="B140:C140"/>
    <mergeCell ref="D140:E140"/>
    <mergeCell ref="F140:G140"/>
    <mergeCell ref="B141:C141"/>
    <mergeCell ref="D141:E141"/>
    <mergeCell ref="F141:G141"/>
    <mergeCell ref="B142:C142"/>
    <mergeCell ref="D142:E142"/>
    <mergeCell ref="F142:G142"/>
    <mergeCell ref="B143:C143"/>
    <mergeCell ref="D143:E143"/>
    <mergeCell ref="F143:G143"/>
    <mergeCell ref="A154:B159"/>
    <mergeCell ref="C154:C155"/>
    <mergeCell ref="D154:E154"/>
    <mergeCell ref="G154:H159"/>
    <mergeCell ref="D155:E156"/>
    <mergeCell ref="F155:F156"/>
    <mergeCell ref="D157:E157"/>
    <mergeCell ref="C158:C159"/>
    <mergeCell ref="D158:E159"/>
    <mergeCell ref="F205:F206"/>
    <mergeCell ref="D207:E207"/>
    <mergeCell ref="C208:C209"/>
    <mergeCell ref="D208:E209"/>
    <mergeCell ref="A160:H160"/>
    <mergeCell ref="B161:F161"/>
    <mergeCell ref="B163:G163"/>
    <mergeCell ref="B164:C164"/>
    <mergeCell ref="B165:C165"/>
    <mergeCell ref="B166:C166"/>
    <mergeCell ref="B168:G168"/>
    <mergeCell ref="B169:C169"/>
    <mergeCell ref="B170:C170"/>
    <mergeCell ref="B171:C171"/>
    <mergeCell ref="B173:G173"/>
    <mergeCell ref="B179:G179"/>
    <mergeCell ref="B188:G188"/>
    <mergeCell ref="B189:C189"/>
    <mergeCell ref="D189:E189"/>
    <mergeCell ref="F189:G189"/>
    <mergeCell ref="A210:H210"/>
    <mergeCell ref="B211:F211"/>
    <mergeCell ref="B213:G213"/>
    <mergeCell ref="B214:C214"/>
    <mergeCell ref="B215:C215"/>
    <mergeCell ref="B218:G218"/>
    <mergeCell ref="B219:C219"/>
    <mergeCell ref="B220:C220"/>
    <mergeCell ref="B221:C221"/>
    <mergeCell ref="B223:G223"/>
    <mergeCell ref="B229:G229"/>
    <mergeCell ref="B238:G238"/>
    <mergeCell ref="B239:C239"/>
    <mergeCell ref="D239:E239"/>
    <mergeCell ref="F239:G239"/>
    <mergeCell ref="B190:C190"/>
    <mergeCell ref="D190:E190"/>
    <mergeCell ref="F190:G190"/>
    <mergeCell ref="B191:C191"/>
    <mergeCell ref="D191:E191"/>
    <mergeCell ref="F191:G191"/>
    <mergeCell ref="B192:C192"/>
    <mergeCell ref="D192:E192"/>
    <mergeCell ref="F192:G192"/>
    <mergeCell ref="B193:C193"/>
    <mergeCell ref="D193:E193"/>
    <mergeCell ref="F193:G193"/>
    <mergeCell ref="A204:B209"/>
    <mergeCell ref="C204:C205"/>
    <mergeCell ref="D204:E204"/>
    <mergeCell ref="G204:H209"/>
    <mergeCell ref="D205:E206"/>
    <mergeCell ref="A304:B309"/>
    <mergeCell ref="C304:C305"/>
    <mergeCell ref="D304:E304"/>
    <mergeCell ref="G304:H309"/>
    <mergeCell ref="D305:E306"/>
    <mergeCell ref="F305:F306"/>
    <mergeCell ref="D307:E307"/>
    <mergeCell ref="C308:C309"/>
    <mergeCell ref="D308:E309"/>
    <mergeCell ref="A254:B259"/>
    <mergeCell ref="C254:C255"/>
    <mergeCell ref="D254:E254"/>
    <mergeCell ref="G254:H259"/>
    <mergeCell ref="D255:E256"/>
    <mergeCell ref="F255:F256"/>
    <mergeCell ref="D257:E257"/>
    <mergeCell ref="C258:C259"/>
    <mergeCell ref="D258:E259"/>
    <mergeCell ref="A260:H260"/>
    <mergeCell ref="B261:F261"/>
    <mergeCell ref="B291:C291"/>
    <mergeCell ref="D291:E291"/>
    <mergeCell ref="F291:G291"/>
    <mergeCell ref="B292:C292"/>
    <mergeCell ref="D292:E292"/>
    <mergeCell ref="F292:G292"/>
    <mergeCell ref="B293:C293"/>
    <mergeCell ref="D293:E293"/>
    <mergeCell ref="F293:G293"/>
    <mergeCell ref="B263:G263"/>
    <mergeCell ref="B264:C264"/>
    <mergeCell ref="B265:C265"/>
    <mergeCell ref="A310:H310"/>
    <mergeCell ref="B311:F311"/>
    <mergeCell ref="B313:G313"/>
    <mergeCell ref="B314:C314"/>
    <mergeCell ref="B315:C315"/>
    <mergeCell ref="B316:C316"/>
    <mergeCell ref="B318:G318"/>
    <mergeCell ref="B319:C319"/>
    <mergeCell ref="B320:C320"/>
    <mergeCell ref="B321:C321"/>
    <mergeCell ref="B323:G323"/>
    <mergeCell ref="B329:G329"/>
    <mergeCell ref="B338:G338"/>
    <mergeCell ref="B339:C339"/>
    <mergeCell ref="D339:E339"/>
    <mergeCell ref="F339:G339"/>
    <mergeCell ref="B340:C340"/>
    <mergeCell ref="D340:E340"/>
    <mergeCell ref="F340:G340"/>
    <mergeCell ref="B520:C520"/>
    <mergeCell ref="B731:C731"/>
    <mergeCell ref="B733:G733"/>
    <mergeCell ref="B734:C734"/>
    <mergeCell ref="B735:C735"/>
    <mergeCell ref="B736:C736"/>
    <mergeCell ref="B737:C737"/>
    <mergeCell ref="B738:C738"/>
    <mergeCell ref="B739:C739"/>
    <mergeCell ref="B740:C740"/>
    <mergeCell ref="A772:B777"/>
    <mergeCell ref="C772:C773"/>
    <mergeCell ref="B1556:G1556"/>
    <mergeCell ref="B1296:C1296"/>
    <mergeCell ref="D1296:E1296"/>
    <mergeCell ref="F1296:G1296"/>
    <mergeCell ref="A1307:B1312"/>
    <mergeCell ref="F1506:G1506"/>
    <mergeCell ref="B1448:C1448"/>
    <mergeCell ref="D1448:E1448"/>
    <mergeCell ref="A1517:B1522"/>
    <mergeCell ref="C1517:C1518"/>
    <mergeCell ref="D1517:E1517"/>
    <mergeCell ref="G1517:H1522"/>
    <mergeCell ref="D1518:E1519"/>
    <mergeCell ref="F1518:F1519"/>
    <mergeCell ref="D1520:E1520"/>
    <mergeCell ref="C1521:C1522"/>
    <mergeCell ref="D1344:E1344"/>
    <mergeCell ref="B1316:G1316"/>
    <mergeCell ref="C1411:C1412"/>
    <mergeCell ref="B1294:C1294"/>
    <mergeCell ref="B341:C341"/>
    <mergeCell ref="D341:E341"/>
    <mergeCell ref="F341:G341"/>
    <mergeCell ref="B342:C342"/>
    <mergeCell ref="D342:E342"/>
    <mergeCell ref="F342:G342"/>
    <mergeCell ref="B343:C343"/>
    <mergeCell ref="D343:E343"/>
    <mergeCell ref="F343:G343"/>
    <mergeCell ref="A2018:B2023"/>
    <mergeCell ref="C2018:C2019"/>
    <mergeCell ref="D2018:E2018"/>
    <mergeCell ref="G2018:H2023"/>
    <mergeCell ref="D2019:E2020"/>
    <mergeCell ref="F2019:F2020"/>
    <mergeCell ref="D2021:E2021"/>
    <mergeCell ref="C2022:C2023"/>
    <mergeCell ref="B1537:C1537"/>
    <mergeCell ref="B1538:C1538"/>
    <mergeCell ref="B812:C812"/>
    <mergeCell ref="A1523:H1523"/>
    <mergeCell ref="B1524:F1524"/>
    <mergeCell ref="B1526:G1526"/>
    <mergeCell ref="B1527:C1527"/>
    <mergeCell ref="B1528:C1528"/>
    <mergeCell ref="B1529:C1529"/>
    <mergeCell ref="B1531:G1531"/>
    <mergeCell ref="B1532:C1532"/>
    <mergeCell ref="B1533:C1533"/>
    <mergeCell ref="B1534:C1534"/>
    <mergeCell ref="B1535:C1535"/>
    <mergeCell ref="B1536:C1536"/>
    <mergeCell ref="B788:C788"/>
    <mergeCell ref="A2024:H2024"/>
    <mergeCell ref="B2025:F2025"/>
    <mergeCell ref="G2342:H2347"/>
    <mergeCell ref="D2343:E2344"/>
    <mergeCell ref="F2343:F2344"/>
    <mergeCell ref="D2345:E2345"/>
    <mergeCell ref="C2346:C2347"/>
    <mergeCell ref="D2346:E2347"/>
    <mergeCell ref="B1547:G1547"/>
    <mergeCell ref="B1422:C1422"/>
    <mergeCell ref="B1423:C1423"/>
    <mergeCell ref="B1425:G1425"/>
    <mergeCell ref="B1426:C1426"/>
    <mergeCell ref="B1427:C1427"/>
    <mergeCell ref="B1428:C1428"/>
    <mergeCell ref="B1429:C1429"/>
    <mergeCell ref="B1431:G1431"/>
    <mergeCell ref="B1437:G1437"/>
    <mergeCell ref="B1446:G1446"/>
    <mergeCell ref="B1447:C1447"/>
    <mergeCell ref="D1561:E1561"/>
    <mergeCell ref="F1561:G1561"/>
    <mergeCell ref="B1506:C1506"/>
    <mergeCell ref="D1506:E1506"/>
    <mergeCell ref="D1557:E1557"/>
    <mergeCell ref="F1557:G1557"/>
    <mergeCell ref="B1558:C1558"/>
    <mergeCell ref="B2297:G2297"/>
    <mergeCell ref="B2298:C2298"/>
    <mergeCell ref="B2299:C2299"/>
    <mergeCell ref="B2300:C2300"/>
    <mergeCell ref="B2111:G2111"/>
    <mergeCell ref="B2112:C2112"/>
    <mergeCell ref="D2112:E2112"/>
    <mergeCell ref="F2112:G2112"/>
    <mergeCell ref="B2113:C2113"/>
    <mergeCell ref="D2113:E2113"/>
    <mergeCell ref="F2113:G2113"/>
    <mergeCell ref="B2114:C2114"/>
    <mergeCell ref="B2383:C2383"/>
    <mergeCell ref="D2383:E2383"/>
    <mergeCell ref="F2383:G2383"/>
    <mergeCell ref="F2380:G2380"/>
    <mergeCell ref="B2382:C2382"/>
    <mergeCell ref="D2382:E2382"/>
    <mergeCell ref="F2382:G2382"/>
    <mergeCell ref="D2058:E2058"/>
    <mergeCell ref="B2381:C2381"/>
    <mergeCell ref="D2381:E2381"/>
    <mergeCell ref="F2381:G2381"/>
    <mergeCell ref="A2342:B2347"/>
    <mergeCell ref="C2342:C2343"/>
    <mergeCell ref="D2342:E2342"/>
    <mergeCell ref="F2328:G2328"/>
    <mergeCell ref="B2329:C2329"/>
    <mergeCell ref="D2329:E2329"/>
    <mergeCell ref="F2329:G2329"/>
    <mergeCell ref="B2330:C2330"/>
    <mergeCell ref="D2330:E2330"/>
    <mergeCell ref="F2330:G2330"/>
    <mergeCell ref="F2379:G2379"/>
    <mergeCell ref="B2380:C2380"/>
    <mergeCell ref="D2380:E2380"/>
    <mergeCell ref="B2002:G2002"/>
    <mergeCell ref="B2003:C2003"/>
    <mergeCell ref="B1539:C1539"/>
    <mergeCell ref="B1541:G1541"/>
    <mergeCell ref="B2092:C2092"/>
    <mergeCell ref="B2093:C2093"/>
    <mergeCell ref="C1747:C1748"/>
    <mergeCell ref="D1747:E1748"/>
    <mergeCell ref="A1749:H1749"/>
    <mergeCell ref="B1750:F1750"/>
    <mergeCell ref="B1752:G1752"/>
    <mergeCell ref="B1753:C1753"/>
    <mergeCell ref="B1672:G1672"/>
    <mergeCell ref="B1673:C1673"/>
    <mergeCell ref="D1673:E1673"/>
    <mergeCell ref="F1673:G1673"/>
    <mergeCell ref="B1674:C1674"/>
    <mergeCell ref="D1674:E1674"/>
    <mergeCell ref="C1578:C1579"/>
    <mergeCell ref="D1578:E1578"/>
    <mergeCell ref="G1578:H1583"/>
    <mergeCell ref="D1579:E1580"/>
    <mergeCell ref="F1579:F1580"/>
    <mergeCell ref="D1581:E1581"/>
    <mergeCell ref="C1582:C1583"/>
    <mergeCell ref="D1582:E1583"/>
    <mergeCell ref="A1578:B1583"/>
    <mergeCell ref="F1731:G1731"/>
    <mergeCell ref="B1732:C1732"/>
    <mergeCell ref="D1732:E1732"/>
    <mergeCell ref="F1732:G1732"/>
    <mergeCell ref="A1743:B1748"/>
    <mergeCell ref="C1743:C1744"/>
    <mergeCell ref="D1743:E1743"/>
    <mergeCell ref="G1743:H1748"/>
    <mergeCell ref="D1744:E1745"/>
    <mergeCell ref="F1744:F1745"/>
    <mergeCell ref="D1746:E1746"/>
    <mergeCell ref="B1754:C1754"/>
    <mergeCell ref="B1755:C1755"/>
    <mergeCell ref="B1757:G1757"/>
    <mergeCell ref="B1758:C1758"/>
    <mergeCell ref="B1759:C1759"/>
    <mergeCell ref="B1760:C1760"/>
    <mergeCell ref="B1786:C1786"/>
    <mergeCell ref="D1786:E1786"/>
    <mergeCell ref="F1786:G1786"/>
    <mergeCell ref="B1787:C1787"/>
    <mergeCell ref="D1787:E1787"/>
    <mergeCell ref="F1787:G1787"/>
    <mergeCell ref="B1761:C1761"/>
    <mergeCell ref="B1762:C1762"/>
    <mergeCell ref="B1763:C1763"/>
    <mergeCell ref="B1764:C1764"/>
    <mergeCell ref="B1765:C1765"/>
    <mergeCell ref="B1767:G1767"/>
    <mergeCell ref="B1773:G1773"/>
    <mergeCell ref="B1782:G1782"/>
    <mergeCell ref="B1783:C1783"/>
    <mergeCell ref="D1783:E1783"/>
    <mergeCell ref="F1783:G1783"/>
    <mergeCell ref="B1784:C1784"/>
    <mergeCell ref="D1784:E1784"/>
    <mergeCell ref="F1784:G1784"/>
    <mergeCell ref="B1785:C1785"/>
    <mergeCell ref="D1785:E1785"/>
    <mergeCell ref="F1785:G1785"/>
    <mergeCell ref="D1914:E1914"/>
    <mergeCell ref="C1915:C1916"/>
    <mergeCell ref="D1915:E1916"/>
    <mergeCell ref="A1917:H1917"/>
    <mergeCell ref="B1918:F1918"/>
    <mergeCell ref="B1920:G1920"/>
    <mergeCell ref="B1921:C1921"/>
    <mergeCell ref="B1922:C1922"/>
    <mergeCell ref="B1923:C1923"/>
    <mergeCell ref="B1925:G1925"/>
    <mergeCell ref="B1926:C1926"/>
    <mergeCell ref="B1927:C1927"/>
    <mergeCell ref="B1928:C1928"/>
    <mergeCell ref="B1929:C1929"/>
    <mergeCell ref="B1901:C1901"/>
    <mergeCell ref="D1901:E1901"/>
    <mergeCell ref="F1901:G1901"/>
    <mergeCell ref="A1911:B1916"/>
    <mergeCell ref="C1911:C1912"/>
    <mergeCell ref="D1911:E1911"/>
    <mergeCell ref="G1911:H1916"/>
    <mergeCell ref="D1912:E1913"/>
    <mergeCell ref="F1912:F1913"/>
    <mergeCell ref="B1898:C1898"/>
    <mergeCell ref="D1898:E1898"/>
    <mergeCell ref="F1898:G1898"/>
    <mergeCell ref="B1899:C1899"/>
    <mergeCell ref="D1899:E1899"/>
    <mergeCell ref="F1899:G1899"/>
    <mergeCell ref="B1954:C1954"/>
    <mergeCell ref="D1954:E1954"/>
    <mergeCell ref="F1954:G1954"/>
    <mergeCell ref="B1930:C1930"/>
    <mergeCell ref="B1931:C1931"/>
    <mergeCell ref="B1932:C1932"/>
    <mergeCell ref="B1934:G1934"/>
    <mergeCell ref="B1940:G1940"/>
    <mergeCell ref="B1949:G1949"/>
    <mergeCell ref="B1950:C1950"/>
    <mergeCell ref="D1950:E1950"/>
    <mergeCell ref="F1950:G1950"/>
    <mergeCell ref="B1951:C1951"/>
    <mergeCell ref="D1951:E1951"/>
    <mergeCell ref="F1951:G1951"/>
    <mergeCell ref="B1952:C1952"/>
    <mergeCell ref="D1952:E1952"/>
    <mergeCell ref="F1952:G1952"/>
    <mergeCell ref="B1953:C1953"/>
    <mergeCell ref="D1953:E1953"/>
    <mergeCell ref="F1953:G195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54" manualBreakCount="54">
    <brk id="53" max="7" man="1"/>
    <brk id="103" max="7" man="1"/>
    <brk id="153" max="7" man="1"/>
    <brk id="203" max="7" man="1"/>
    <brk id="253" max="7" man="1"/>
    <brk id="303" max="7" man="1"/>
    <brk id="353" max="7" man="1"/>
    <brk id="403" max="7" man="1"/>
    <brk id="454" max="7" man="1"/>
    <brk id="507" max="7" man="1"/>
    <brk id="559" max="7" man="1"/>
    <brk id="612" max="7" man="1"/>
    <brk id="665" max="7" man="1"/>
    <brk id="718" max="7" man="1"/>
    <brk id="771" max="7" man="1"/>
    <brk id="824" max="7" man="1"/>
    <brk id="877" max="7" man="1"/>
    <brk id="930" max="7" man="1"/>
    <brk id="983" max="7" man="1"/>
    <brk id="1036" max="7" man="1"/>
    <brk id="1090" max="7" man="1"/>
    <brk id="1144" max="7" man="1"/>
    <brk id="1199" max="7" man="1"/>
    <brk id="1254" max="7" man="1"/>
    <brk id="1306" max="7" man="1"/>
    <brk id="1358" max="7" man="1"/>
    <brk id="1410" max="7" man="1"/>
    <brk id="1461" max="7" man="1"/>
    <brk id="1516" max="7" man="1"/>
    <brk id="1577" max="7" man="1"/>
    <brk id="1631" max="7" man="1"/>
    <brk id="1687" max="7" man="1"/>
    <brk id="1742" max="7" man="1"/>
    <brk id="1803" max="7" man="1"/>
    <brk id="1857" max="7" man="1"/>
    <brk id="1910" max="7" man="1"/>
    <brk id="1963" max="7" man="1"/>
    <brk id="2017" max="7" man="1"/>
    <brk id="2071" max="7" man="1"/>
    <brk id="2126" max="7" man="1"/>
    <brk id="2181" max="7" man="1"/>
    <brk id="2234" max="7" man="1"/>
    <brk id="2287" max="7" man="1"/>
    <brk id="2341" max="7" man="1"/>
    <brk id="2393" max="7" man="1"/>
    <brk id="2447" max="7" man="1"/>
    <brk id="2500" max="7" man="1"/>
    <brk id="2553" max="7" man="1"/>
    <brk id="2607" max="7" man="1"/>
    <brk id="2661" max="7" man="1"/>
    <brk id="2714" max="7" man="1"/>
    <brk id="2768" max="7" man="1"/>
    <brk id="2823" max="7" man="1"/>
    <brk id="2875" max="7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200-000000000000}">
          <x14:formula1>
            <xm:f>'E:\CODISUM\[autoguardado Ppto..xlsx]INSUMOS'!#REF!</xm:f>
          </x14:formula1>
          <xm:sqref>B1323:C1325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91"/>
  <sheetViews>
    <sheetView view="pageBreakPreview" topLeftCell="A58" zoomScale="80" zoomScaleNormal="80" zoomScaleSheetLayoutView="80" workbookViewId="0">
      <selection activeCell="J53" sqref="J53"/>
    </sheetView>
  </sheetViews>
  <sheetFormatPr baseColWidth="10" defaultColWidth="11.44140625" defaultRowHeight="14.4" x14ac:dyDescent="0.3"/>
  <cols>
    <col min="1" max="1" width="7.33203125" style="3" customWidth="1"/>
    <col min="2" max="2" width="15.6640625" style="3" customWidth="1"/>
    <col min="3" max="3" width="54.109375" style="3" customWidth="1"/>
    <col min="4" max="4" width="7" style="3" customWidth="1"/>
    <col min="5" max="5" width="9" style="3" customWidth="1"/>
    <col min="6" max="6" width="13.6640625" style="3" customWidth="1"/>
    <col min="7" max="7" width="16.5546875" style="3" customWidth="1"/>
    <col min="8" max="8" width="7.44140625" style="3" customWidth="1"/>
    <col min="9" max="11" width="13.88671875" style="3" bestFit="1" customWidth="1"/>
    <col min="12" max="12" width="15.109375" style="3" bestFit="1" customWidth="1"/>
    <col min="13" max="13" width="13.88671875" style="3" bestFit="1" customWidth="1"/>
    <col min="14" max="14" width="15.109375" style="3" bestFit="1" customWidth="1"/>
    <col min="15" max="15" width="13.44140625" style="3" bestFit="1" customWidth="1"/>
    <col min="16" max="16384" width="11.44140625" style="3"/>
  </cols>
  <sheetData>
    <row r="1" spans="1:14" ht="15.05" customHeight="1" x14ac:dyDescent="0.3">
      <c r="A1" s="379"/>
      <c r="B1" s="379"/>
      <c r="C1" s="607" t="s">
        <v>2</v>
      </c>
      <c r="D1" s="607"/>
      <c r="E1" s="607"/>
      <c r="F1" s="607"/>
      <c r="G1" s="607"/>
      <c r="H1" s="607"/>
      <c r="I1" s="607"/>
      <c r="J1" s="395" t="s">
        <v>3</v>
      </c>
      <c r="K1" s="395"/>
      <c r="L1" s="1">
        <v>103</v>
      </c>
      <c r="M1" s="395"/>
      <c r="N1" s="395"/>
    </row>
    <row r="2" spans="1:14" ht="15.05" customHeight="1" x14ac:dyDescent="0.3">
      <c r="A2" s="379"/>
      <c r="B2" s="379"/>
      <c r="C2" s="607"/>
      <c r="D2" s="607"/>
      <c r="E2" s="607"/>
      <c r="F2" s="607"/>
      <c r="G2" s="607"/>
      <c r="H2" s="607"/>
      <c r="I2" s="607"/>
      <c r="J2" s="404" t="s">
        <v>4</v>
      </c>
      <c r="K2" s="404"/>
      <c r="L2" s="494">
        <v>51</v>
      </c>
      <c r="M2" s="395"/>
      <c r="N2" s="395"/>
    </row>
    <row r="3" spans="1:14" ht="15.05" customHeight="1" x14ac:dyDescent="0.3">
      <c r="A3" s="379"/>
      <c r="B3" s="379"/>
      <c r="C3" s="503" t="s">
        <v>5</v>
      </c>
      <c r="D3" s="503"/>
      <c r="E3" s="503"/>
      <c r="F3" s="503"/>
      <c r="G3" s="503"/>
      <c r="H3" s="503"/>
      <c r="I3" s="503"/>
      <c r="J3" s="404"/>
      <c r="K3" s="404"/>
      <c r="L3" s="494"/>
      <c r="M3" s="395"/>
      <c r="N3" s="395"/>
    </row>
    <row r="4" spans="1:14" ht="15.05" customHeight="1" x14ac:dyDescent="0.3">
      <c r="A4" s="379"/>
      <c r="B4" s="379"/>
      <c r="C4" s="608" t="s">
        <v>6</v>
      </c>
      <c r="D4" s="608"/>
      <c r="E4" s="608"/>
      <c r="F4" s="608"/>
      <c r="G4" s="608"/>
      <c r="H4" s="608"/>
      <c r="I4" s="608"/>
      <c r="J4" s="404" t="s">
        <v>7</v>
      </c>
      <c r="K4" s="404"/>
      <c r="L4" s="7">
        <v>1</v>
      </c>
      <c r="M4" s="395"/>
      <c r="N4" s="395"/>
    </row>
    <row r="5" spans="1:14" ht="16.55" customHeight="1" x14ac:dyDescent="0.3">
      <c r="A5" s="379"/>
      <c r="B5" s="379"/>
      <c r="C5" s="404" t="s">
        <v>8</v>
      </c>
      <c r="D5" s="404"/>
      <c r="E5" s="404"/>
      <c r="F5" s="404"/>
      <c r="G5" s="404"/>
      <c r="H5" s="404"/>
      <c r="I5" s="404"/>
      <c r="J5" s="404" t="s">
        <v>9</v>
      </c>
      <c r="K5" s="404"/>
      <c r="L5" s="5" t="s">
        <v>10</v>
      </c>
      <c r="M5" s="395"/>
      <c r="N5" s="395"/>
    </row>
    <row r="6" spans="1:14" ht="15.75" customHeight="1" x14ac:dyDescent="0.3">
      <c r="A6" s="379"/>
      <c r="B6" s="379"/>
      <c r="C6" s="404"/>
      <c r="D6" s="404"/>
      <c r="E6" s="404"/>
      <c r="F6" s="404"/>
      <c r="G6" s="404"/>
      <c r="H6" s="404"/>
      <c r="I6" s="404"/>
      <c r="J6" s="404"/>
      <c r="K6" s="404"/>
      <c r="L6" s="8">
        <v>44216</v>
      </c>
      <c r="M6" s="395"/>
      <c r="N6" s="395"/>
    </row>
    <row r="7" spans="1:14" ht="15.05" thickBot="1" x14ac:dyDescent="0.35">
      <c r="A7" s="144"/>
      <c r="B7" s="122"/>
      <c r="C7" s="122"/>
      <c r="D7" s="122"/>
      <c r="E7" s="122"/>
      <c r="F7" s="122"/>
      <c r="G7" s="122"/>
      <c r="H7" s="122"/>
      <c r="I7" s="122"/>
      <c r="J7" s="122"/>
      <c r="K7" s="609"/>
      <c r="L7" s="609"/>
      <c r="M7" s="609"/>
      <c r="N7" s="609"/>
    </row>
    <row r="8" spans="1:14" ht="13.75" customHeight="1" x14ac:dyDescent="0.3">
      <c r="A8" s="581" t="str">
        <f>PRESUPUESTO!A8</f>
        <v>AMPLIACIÓN DE MÓDULOS HABITACIONALES Y ÁREAS COMPLEMENTARIAS PARA CENTRO DE BIENESTAR EL BUEN SAMARITANO Y CENTRO DÍA DE PUERTO COLÓN DEL MUNICIPIO DE SAN MIGUEL, PUTUMAYO.</v>
      </c>
      <c r="B8" s="582"/>
      <c r="C8" s="582"/>
      <c r="D8" s="582"/>
      <c r="E8" s="582"/>
      <c r="F8" s="582"/>
      <c r="G8" s="582"/>
      <c r="H8" s="582"/>
      <c r="I8" s="582"/>
      <c r="J8" s="582"/>
      <c r="K8" s="582"/>
      <c r="L8" s="582"/>
      <c r="M8" s="582"/>
      <c r="N8" s="583"/>
    </row>
    <row r="9" spans="1:14" ht="16.399999999999999" customHeight="1" thickBot="1" x14ac:dyDescent="0.35">
      <c r="A9" s="584"/>
      <c r="B9" s="585"/>
      <c r="C9" s="585"/>
      <c r="D9" s="585"/>
      <c r="E9" s="585"/>
      <c r="F9" s="585"/>
      <c r="G9" s="585"/>
      <c r="H9" s="585"/>
      <c r="I9" s="585"/>
      <c r="J9" s="585"/>
      <c r="K9" s="585"/>
      <c r="L9" s="585"/>
      <c r="M9" s="585"/>
      <c r="N9" s="586"/>
    </row>
    <row r="10" spans="1:14" ht="15.05" thickBot="1" x14ac:dyDescent="0.35"/>
    <row r="11" spans="1:14" ht="15.75" customHeight="1" thickBot="1" x14ac:dyDescent="0.35">
      <c r="A11" s="587" t="s">
        <v>86</v>
      </c>
      <c r="B11" s="588"/>
      <c r="C11" s="588"/>
      <c r="D11" s="588"/>
      <c r="E11" s="588"/>
      <c r="F11" s="588"/>
      <c r="G11" s="588"/>
      <c r="H11" s="588"/>
      <c r="I11" s="588"/>
      <c r="J11" s="588"/>
      <c r="K11" s="588"/>
      <c r="L11" s="588"/>
      <c r="M11" s="588"/>
      <c r="N11" s="589"/>
    </row>
    <row r="12" spans="1:14" ht="15.75" customHeight="1" thickBot="1" x14ac:dyDescent="0.35">
      <c r="A12" s="323"/>
      <c r="B12" s="324"/>
      <c r="C12" s="324"/>
      <c r="D12" s="324"/>
      <c r="E12" s="324"/>
      <c r="F12" s="324"/>
      <c r="G12" s="324"/>
      <c r="H12" s="324"/>
      <c r="I12" s="592" t="s">
        <v>87</v>
      </c>
      <c r="J12" s="593"/>
      <c r="K12" s="593"/>
      <c r="L12" s="594"/>
      <c r="M12" s="592" t="s">
        <v>625</v>
      </c>
      <c r="N12" s="594"/>
    </row>
    <row r="13" spans="1:14" x14ac:dyDescent="0.3">
      <c r="A13" s="257"/>
      <c r="B13" s="590"/>
      <c r="C13" s="590"/>
      <c r="D13" s="123"/>
      <c r="E13" s="123"/>
      <c r="F13" s="123"/>
      <c r="G13" s="123"/>
      <c r="H13" s="124"/>
      <c r="I13" s="125" t="s">
        <v>88</v>
      </c>
      <c r="J13" s="125" t="s">
        <v>89</v>
      </c>
      <c r="K13" s="125" t="s">
        <v>90</v>
      </c>
      <c r="L13" s="125" t="s">
        <v>442</v>
      </c>
      <c r="M13" s="125" t="s">
        <v>623</v>
      </c>
      <c r="N13" s="125" t="s">
        <v>624</v>
      </c>
    </row>
    <row r="14" spans="1:14" x14ac:dyDescent="0.3">
      <c r="A14" s="145" t="s">
        <v>12</v>
      </c>
      <c r="B14" s="591" t="s">
        <v>91</v>
      </c>
      <c r="C14" s="591"/>
      <c r="D14" s="126" t="s">
        <v>14</v>
      </c>
      <c r="E14" s="126" t="s">
        <v>15</v>
      </c>
      <c r="F14" s="126" t="s">
        <v>92</v>
      </c>
      <c r="G14" s="126" t="s">
        <v>93</v>
      </c>
      <c r="H14" s="127" t="s">
        <v>63</v>
      </c>
      <c r="I14" s="124"/>
      <c r="J14" s="124"/>
      <c r="K14" s="310"/>
      <c r="L14" s="314"/>
      <c r="M14" s="310"/>
      <c r="N14" s="314"/>
    </row>
    <row r="15" spans="1:14" ht="16.7" customHeight="1" x14ac:dyDescent="0.3">
      <c r="A15" s="146">
        <v>1</v>
      </c>
      <c r="B15" s="376" t="str">
        <f>PRESUPUESTO!B14</f>
        <v>PRELIMINARES</v>
      </c>
      <c r="C15" s="377"/>
      <c r="D15" s="377"/>
      <c r="E15" s="377"/>
      <c r="F15" s="377"/>
      <c r="G15" s="378"/>
      <c r="H15" s="128"/>
      <c r="I15" s="129"/>
      <c r="J15" s="129"/>
      <c r="K15" s="311"/>
      <c r="L15" s="129"/>
      <c r="M15" s="311"/>
      <c r="N15" s="129"/>
    </row>
    <row r="16" spans="1:14" ht="15.75" customHeight="1" x14ac:dyDescent="0.3">
      <c r="A16" s="147">
        <v>1.1000000000000001</v>
      </c>
      <c r="B16" s="370" t="str">
        <f>VLOOKUP(A16,PRESUPUESTO!$A$14:$G$84,2,)</f>
        <v xml:space="preserve">localizacion y replanteo </v>
      </c>
      <c r="C16" s="370"/>
      <c r="D16" s="27" t="str">
        <f>VLOOKUP(A16,PRESUPUESTO!$A$14:$G$84,4,)</f>
        <v>M2</v>
      </c>
      <c r="E16" s="28">
        <f>VLOOKUP(A16,PRESUPUESTO!$A$14:$G$84,5,)</f>
        <v>181.654</v>
      </c>
      <c r="F16" s="29">
        <f>VLOOKUP(A16,PRESUPUESTO!$A$14:$G$84,6,)</f>
        <v>9225.8799999999992</v>
      </c>
      <c r="G16" s="30">
        <f t="shared" ref="G16:G23" si="0">+ROUND(E16*F16,2)</f>
        <v>1675918.01</v>
      </c>
      <c r="H16" s="130">
        <f t="shared" ref="H16:H23" si="1">G16/$G$77</f>
        <v>4.863078073724718E-3</v>
      </c>
      <c r="I16" s="354">
        <f>G16/1</f>
        <v>1675918.01</v>
      </c>
      <c r="J16" s="131"/>
      <c r="K16" s="312"/>
      <c r="L16" s="315"/>
      <c r="M16" s="312"/>
      <c r="N16" s="315"/>
    </row>
    <row r="17" spans="1:14" ht="27.85" customHeight="1" x14ac:dyDescent="0.3">
      <c r="A17" s="147">
        <v>1.2</v>
      </c>
      <c r="B17" s="580" t="str">
        <f>VLOOKUP(A17,PRESUPUESTO!$A$14:$G$84,2,)</f>
        <v>Desmonte de pasamanos metálico auto portante con anclaje a piso existente y anclaje lateral a muro existente</v>
      </c>
      <c r="C17" s="580"/>
      <c r="D17" s="27" t="str">
        <f>VLOOKUP(A17,PRESUPUESTO!$A$14:$G$84,4,)</f>
        <v>ML</v>
      </c>
      <c r="E17" s="28">
        <f>VLOOKUP(A17,PRESUPUESTO!$A$14:$G$84,5,)</f>
        <v>52.849999999999994</v>
      </c>
      <c r="F17" s="29">
        <f>VLOOKUP(A17,PRESUPUESTO!$A$14:$G$84,6,)</f>
        <v>15300</v>
      </c>
      <c r="G17" s="30">
        <f t="shared" si="0"/>
        <v>808605</v>
      </c>
      <c r="H17" s="130">
        <f t="shared" si="1"/>
        <v>2.3463613508182156E-3</v>
      </c>
      <c r="I17" s="354">
        <f t="shared" ref="I17:I23" si="2">G17/1</f>
        <v>808605</v>
      </c>
      <c r="J17" s="131"/>
      <c r="K17" s="312"/>
      <c r="L17" s="315"/>
      <c r="M17" s="312"/>
      <c r="N17" s="315"/>
    </row>
    <row r="18" spans="1:14" ht="15.75" customHeight="1" x14ac:dyDescent="0.3">
      <c r="A18" s="147">
        <f>PRESUPUESTO!A17</f>
        <v>1.3</v>
      </c>
      <c r="B18" s="370" t="str">
        <f>VLOOKUP(A18,PRESUPUESTO!$A$14:$G$84,2,)</f>
        <v>Desmonte de cabinas metálicas existentes</v>
      </c>
      <c r="C18" s="370"/>
      <c r="D18" s="27" t="str">
        <f>VLOOKUP(A18,PRESUPUESTO!$A$14:$G$84,4,)</f>
        <v>UND</v>
      </c>
      <c r="E18" s="28">
        <f>VLOOKUP(A18,PRESUPUESTO!$A$14:$G$84,5,)</f>
        <v>4</v>
      </c>
      <c r="F18" s="29">
        <f>VLOOKUP(A18,PRESUPUESTO!$A$14:$G$84,6,)</f>
        <v>12456.25</v>
      </c>
      <c r="G18" s="30">
        <f t="shared" si="0"/>
        <v>49825</v>
      </c>
      <c r="H18" s="130">
        <f t="shared" si="1"/>
        <v>1.4457918798983137E-4</v>
      </c>
      <c r="I18" s="354">
        <f t="shared" si="2"/>
        <v>49825</v>
      </c>
      <c r="J18" s="131"/>
      <c r="K18" s="312"/>
      <c r="L18" s="315"/>
      <c r="M18" s="312"/>
      <c r="N18" s="315"/>
    </row>
    <row r="19" spans="1:14" ht="15.75" customHeight="1" x14ac:dyDescent="0.3">
      <c r="A19" s="147">
        <v>1.4</v>
      </c>
      <c r="B19" s="370" t="str">
        <f>VLOOKUP(A19,PRESUPUESTO!$A$14:$G$84,2,)</f>
        <v>Desmonte de unidades sanitarias y lavamanos existentes</v>
      </c>
      <c r="C19" s="370"/>
      <c r="D19" s="27" t="str">
        <f>VLOOKUP(A19,PRESUPUESTO!$A$14:$G$84,4,)</f>
        <v>UND</v>
      </c>
      <c r="E19" s="28">
        <f>VLOOKUP(A19,PRESUPUESTO!$A$14:$G$84,5,)</f>
        <v>7</v>
      </c>
      <c r="F19" s="29">
        <f>VLOOKUP(A19,PRESUPUESTO!$A$14:$G$84,6,)</f>
        <v>25025</v>
      </c>
      <c r="G19" s="30">
        <f t="shared" si="0"/>
        <v>175175</v>
      </c>
      <c r="H19" s="130">
        <f t="shared" si="1"/>
        <v>5.0831227809570913E-4</v>
      </c>
      <c r="I19" s="354">
        <f t="shared" si="2"/>
        <v>175175</v>
      </c>
      <c r="J19" s="131"/>
      <c r="K19" s="312"/>
      <c r="L19" s="315"/>
      <c r="M19" s="312"/>
      <c r="N19" s="315"/>
    </row>
    <row r="20" spans="1:14" ht="15.75" customHeight="1" x14ac:dyDescent="0.3">
      <c r="A20" s="147">
        <v>1.5</v>
      </c>
      <c r="B20" s="370" t="str">
        <f>VLOOKUP(A20,PRESUPUESTO!$A$14:$G$84,2,)</f>
        <v>Demolición de enchape de piso existente</v>
      </c>
      <c r="C20" s="370"/>
      <c r="D20" s="27" t="str">
        <f>VLOOKUP(A20,PRESUPUESTO!$A$14:$G$84,4,)</f>
        <v>M2</v>
      </c>
      <c r="E20" s="28">
        <f>VLOOKUP(A20,PRESUPUESTO!$A$14:$G$84,5,)</f>
        <v>19.262499999999999</v>
      </c>
      <c r="F20" s="29">
        <f>VLOOKUP(A20,PRESUPUESTO!$A$14:$G$84,6,)</f>
        <v>25800</v>
      </c>
      <c r="G20" s="30">
        <f t="shared" si="0"/>
        <v>496972.5</v>
      </c>
      <c r="H20" s="130">
        <f t="shared" si="1"/>
        <v>1.4420849072408724E-3</v>
      </c>
      <c r="I20" s="354">
        <f t="shared" si="2"/>
        <v>496972.5</v>
      </c>
      <c r="J20" s="131"/>
      <c r="K20" s="312"/>
      <c r="L20" s="315"/>
      <c r="M20" s="312"/>
      <c r="N20" s="315"/>
    </row>
    <row r="21" spans="1:14" ht="15.75" customHeight="1" x14ac:dyDescent="0.3">
      <c r="A21" s="147">
        <f>PRESUPUESTO!A20</f>
        <v>1.6</v>
      </c>
      <c r="B21" s="370" t="str">
        <f>VLOOKUP(A21,PRESUPUESTO!$A$14:$G$84,2,)</f>
        <v>Demolicion de enchape de muro existente</v>
      </c>
      <c r="C21" s="370"/>
      <c r="D21" s="27" t="str">
        <f>VLOOKUP(A21,PRESUPUESTO!$A$14:$G$84,4,)</f>
        <v>M2</v>
      </c>
      <c r="E21" s="28">
        <f>VLOOKUP(A21,PRESUPUESTO!$A$14:$G$84,5,)</f>
        <v>25.799999999999997</v>
      </c>
      <c r="F21" s="29">
        <f>VLOOKUP(A21,PRESUPUESTO!$A$14:$G$84,6,)</f>
        <v>24300</v>
      </c>
      <c r="G21" s="30">
        <f t="shared" si="0"/>
        <v>626940</v>
      </c>
      <c r="H21" s="130">
        <f t="shared" si="1"/>
        <v>1.8192167811007501E-3</v>
      </c>
      <c r="I21" s="354">
        <f t="shared" si="2"/>
        <v>626940</v>
      </c>
      <c r="J21" s="131"/>
      <c r="K21" s="312"/>
      <c r="L21" s="315"/>
      <c r="M21" s="312"/>
      <c r="N21" s="315"/>
    </row>
    <row r="22" spans="1:14" ht="15.75" customHeight="1" x14ac:dyDescent="0.3">
      <c r="A22" s="147">
        <v>1.7</v>
      </c>
      <c r="B22" s="370" t="str">
        <f>VLOOKUP(A22,PRESUPUESTO!$A$14:$G$84,2,)</f>
        <v>Demolición manual de muro de baño</v>
      </c>
      <c r="C22" s="370"/>
      <c r="D22" s="27" t="str">
        <f>VLOOKUP(A22,PRESUPUESTO!$A$14:$G$84,4,)</f>
        <v>M2</v>
      </c>
      <c r="E22" s="28">
        <f>VLOOKUP(A22,PRESUPUESTO!$A$14:$G$84,5,)</f>
        <v>2.7</v>
      </c>
      <c r="F22" s="29">
        <f>VLOOKUP(A22,PRESUPUESTO!$A$14:$G$84,6,)</f>
        <v>38300</v>
      </c>
      <c r="G22" s="30">
        <f t="shared" si="0"/>
        <v>103410</v>
      </c>
      <c r="H22" s="130">
        <f t="shared" si="1"/>
        <v>3.0006891781291444E-4</v>
      </c>
      <c r="I22" s="354">
        <f t="shared" si="2"/>
        <v>103410</v>
      </c>
      <c r="J22" s="131"/>
      <c r="K22" s="312"/>
      <c r="L22" s="315"/>
      <c r="M22" s="312"/>
      <c r="N22" s="315"/>
    </row>
    <row r="23" spans="1:14" ht="15.75" customHeight="1" x14ac:dyDescent="0.3">
      <c r="A23" s="147">
        <v>1.8</v>
      </c>
      <c r="B23" s="370" t="str">
        <f>VLOOKUP(A23,PRESUPUESTO!$A$14:$G$84,2,)</f>
        <v>Retiro y disposicion de material sobrante</v>
      </c>
      <c r="C23" s="370"/>
      <c r="D23" s="27" t="str">
        <f>VLOOKUP(A23,PRESUPUESTO!$A$14:$G$84,4,)</f>
        <v>M3</v>
      </c>
      <c r="E23" s="28">
        <f>VLOOKUP(A23,PRESUPUESTO!$A$14:$G$84,5,)</f>
        <v>46.952500000000001</v>
      </c>
      <c r="F23" s="29">
        <f>VLOOKUP(A23,PRESUPUESTO!$A$14:$G$84,6,)</f>
        <v>34383.339999999997</v>
      </c>
      <c r="G23" s="30">
        <f t="shared" si="0"/>
        <v>1614383.77</v>
      </c>
      <c r="H23" s="130">
        <f t="shared" si="1"/>
        <v>4.6845217174222315E-3</v>
      </c>
      <c r="I23" s="354">
        <f t="shared" si="2"/>
        <v>1614383.77</v>
      </c>
      <c r="J23" s="131"/>
      <c r="K23" s="312"/>
      <c r="L23" s="315"/>
      <c r="M23" s="312"/>
      <c r="N23" s="315"/>
    </row>
    <row r="24" spans="1:14" ht="15.05" x14ac:dyDescent="0.3">
      <c r="A24" s="146">
        <v>2</v>
      </c>
      <c r="B24" s="376" t="str">
        <f>PRESUPUESTO!B24</f>
        <v>MOVIMIENTO DE TIERRAS</v>
      </c>
      <c r="C24" s="377"/>
      <c r="D24" s="377"/>
      <c r="E24" s="377"/>
      <c r="F24" s="377"/>
      <c r="G24" s="378"/>
      <c r="H24" s="132"/>
      <c r="I24" s="132"/>
      <c r="J24" s="132"/>
      <c r="K24" s="313"/>
      <c r="L24" s="321"/>
      <c r="M24" s="313"/>
      <c r="N24" s="321"/>
    </row>
    <row r="25" spans="1:14" s="10" customFormat="1" ht="15.05" x14ac:dyDescent="0.3">
      <c r="A25" s="147">
        <v>2.1</v>
      </c>
      <c r="B25" s="370" t="str">
        <f>VLOOKUP(A25,PRESUPUESTO!$A$14:$G$84,2,)</f>
        <v>Excavacion Manual Localizada (incluye retiro)</v>
      </c>
      <c r="C25" s="370"/>
      <c r="D25" s="27" t="str">
        <f>VLOOKUP(A25,PRESUPUESTO!$A$14:$G$84,4,)</f>
        <v>M3</v>
      </c>
      <c r="E25" s="28">
        <f>VLOOKUP(A25,PRESUPUESTO!$A$14:$G$84,5,)</f>
        <v>39.7408</v>
      </c>
      <c r="F25" s="29">
        <f>VLOOKUP(A25,PRESUPUESTO!$A$14:$G$84,6,)</f>
        <v>60050</v>
      </c>
      <c r="G25" s="30">
        <f t="shared" ref="G25" si="3">+ROUND(E25*F25,2)</f>
        <v>2386435.04</v>
      </c>
      <c r="H25" s="130">
        <f>G25/$G$77</f>
        <v>6.9248136532600243E-3</v>
      </c>
      <c r="I25" s="354">
        <f>G25/1</f>
        <v>2386435.04</v>
      </c>
      <c r="J25" s="317"/>
      <c r="K25" s="318"/>
      <c r="L25" s="319"/>
      <c r="M25" s="318"/>
      <c r="N25" s="319"/>
    </row>
    <row r="26" spans="1:14" s="10" customFormat="1" ht="15.05" x14ac:dyDescent="0.3">
      <c r="A26" s="147">
        <v>2.2000000000000002</v>
      </c>
      <c r="B26" s="370" t="str">
        <f>VLOOKUP(A26,PRESUPUESTO!$A$14:$G$84,2,)</f>
        <v xml:space="preserve">Suministro, instalacion y compactacion de material  seleccionado </v>
      </c>
      <c r="C26" s="370"/>
      <c r="D26" s="27" t="str">
        <f>VLOOKUP(A26,PRESUPUESTO!$A$14:$G$84,4,)</f>
        <v>M3</v>
      </c>
      <c r="E26" s="28">
        <f>VLOOKUP(A26,PRESUPUESTO!$A$14:$G$84,5,)</f>
        <v>64.110199999999992</v>
      </c>
      <c r="F26" s="29">
        <f>VLOOKUP(A26,PRESUPUESTO!$A$14:$G$84,6,)</f>
        <v>110130</v>
      </c>
      <c r="G26" s="30">
        <f t="shared" ref="G26" si="4">+ROUND(E26*F26,2)</f>
        <v>7060456.3300000001</v>
      </c>
      <c r="H26" s="130">
        <f>G26/$G$77</f>
        <v>2.0487607486785044E-2</v>
      </c>
      <c r="I26" s="133"/>
      <c r="J26" s="354">
        <f>G26/1</f>
        <v>7060456.3300000001</v>
      </c>
      <c r="K26" s="318"/>
      <c r="L26" s="319"/>
      <c r="M26" s="318"/>
      <c r="N26" s="319"/>
    </row>
    <row r="27" spans="1:14" ht="15.05" x14ac:dyDescent="0.3">
      <c r="A27" s="146">
        <v>3</v>
      </c>
      <c r="B27" s="376" t="str">
        <f>PRESUPUESTO!B28</f>
        <v>CONCRETOS Y ACEROS</v>
      </c>
      <c r="C27" s="377"/>
      <c r="D27" s="377"/>
      <c r="E27" s="377"/>
      <c r="F27" s="377"/>
      <c r="G27" s="378"/>
      <c r="H27" s="132"/>
      <c r="I27" s="132"/>
      <c r="J27" s="132"/>
      <c r="K27" s="313"/>
      <c r="L27" s="321"/>
      <c r="M27" s="313"/>
      <c r="N27" s="321"/>
    </row>
    <row r="28" spans="1:14" s="10" customFormat="1" ht="15.05" x14ac:dyDescent="0.3">
      <c r="A28" s="147">
        <v>3.1</v>
      </c>
      <c r="B28" s="370" t="str">
        <f>VLOOKUP(A28,PRESUPUESTO!$A$14:$G$84,2,)</f>
        <v>Viga de cimentacion de (30x35cm) en concreto 3000 PSI</v>
      </c>
      <c r="C28" s="370"/>
      <c r="D28" s="27" t="str">
        <f>VLOOKUP(A28,PRESUPUESTO!$A$14:$G$84,4,)</f>
        <v>ML</v>
      </c>
      <c r="E28" s="28">
        <f>VLOOKUP(A28,PRESUPUESTO!$A$14:$G$84,5,)</f>
        <v>106.53999999999999</v>
      </c>
      <c r="F28" s="29">
        <f>VLOOKUP(A28,PRESUPUESTO!$A$14:$G$84,6,)</f>
        <v>111153.5</v>
      </c>
      <c r="G28" s="30">
        <f t="shared" ref="G28:G75" si="5">+ROUND(E28*F28,2)</f>
        <v>11842293.890000001</v>
      </c>
      <c r="H28" s="130">
        <f t="shared" ref="H28:H33" si="6">G28/$G$77</f>
        <v>3.4363256087368621E-2</v>
      </c>
      <c r="I28" s="133"/>
      <c r="J28" s="354">
        <f>G28/1</f>
        <v>11842293.890000001</v>
      </c>
      <c r="K28" s="320"/>
      <c r="L28" s="319"/>
      <c r="M28" s="320"/>
      <c r="N28" s="319"/>
    </row>
    <row r="29" spans="1:14" s="10" customFormat="1" ht="15.05" x14ac:dyDescent="0.3">
      <c r="A29" s="147">
        <v>3.2</v>
      </c>
      <c r="B29" s="370" t="str">
        <f>VLOOKUP(A29,PRESUPUESTO!$A$14:$G$84,2,)</f>
        <v>Vigas de corona de (12x20cm ) en concreto de 3000 PSI</v>
      </c>
      <c r="C29" s="370"/>
      <c r="D29" s="27" t="str">
        <f>VLOOKUP(A29,PRESUPUESTO!$A$14:$G$84,4,)</f>
        <v>ML</v>
      </c>
      <c r="E29" s="28">
        <f>VLOOKUP(A29,PRESUPUESTO!$A$14:$G$84,5,)</f>
        <v>108.03999999999999</v>
      </c>
      <c r="F29" s="29">
        <f>VLOOKUP(A29,PRESUPUESTO!$A$14:$G$84,6,)</f>
        <v>75983.3</v>
      </c>
      <c r="G29" s="30">
        <f t="shared" si="5"/>
        <v>8209235.7300000004</v>
      </c>
      <c r="H29" s="130">
        <f t="shared" si="6"/>
        <v>2.3821066449784458E-2</v>
      </c>
      <c r="I29" s="133"/>
      <c r="J29" s="317"/>
      <c r="K29" s="320"/>
      <c r="L29" s="319"/>
      <c r="M29" s="354">
        <f>G29/1</f>
        <v>8209235.7300000004</v>
      </c>
      <c r="N29" s="319"/>
    </row>
    <row r="30" spans="1:14" s="10" customFormat="1" ht="15.05" x14ac:dyDescent="0.3">
      <c r="A30" s="147">
        <v>3.3</v>
      </c>
      <c r="B30" s="370" t="str">
        <f>VLOOKUP(A30,PRESUPUESTO!$A$14:$G$84,2,)</f>
        <v>Columnetas de confinamiento de (12x20cm) en concreto  de 3000 PSI</v>
      </c>
      <c r="C30" s="370"/>
      <c r="D30" s="27" t="str">
        <f>VLOOKUP(A30,PRESUPUESTO!$A$14:$G$84,4,)</f>
        <v>ML</v>
      </c>
      <c r="E30" s="28">
        <f>VLOOKUP(A30,PRESUPUESTO!$A$14:$G$84,5,)</f>
        <v>152.04999999999998</v>
      </c>
      <c r="F30" s="29">
        <f>VLOOKUP(A30,PRESUPUESTO!$A$14:$G$84,6,)</f>
        <v>75248.149999999994</v>
      </c>
      <c r="G30" s="30">
        <f t="shared" si="5"/>
        <v>11441481.210000001</v>
      </c>
      <c r="H30" s="130">
        <f t="shared" si="6"/>
        <v>3.3200201961720285E-2</v>
      </c>
      <c r="I30" s="133"/>
      <c r="J30" s="317"/>
      <c r="K30" s="320"/>
      <c r="L30" s="354">
        <f>G30/1</f>
        <v>11441481.210000001</v>
      </c>
      <c r="M30" s="320"/>
      <c r="N30" s="319"/>
    </row>
    <row r="31" spans="1:14" s="10" customFormat="1" ht="15.05" x14ac:dyDescent="0.3">
      <c r="A31" s="147">
        <v>3.4</v>
      </c>
      <c r="B31" s="370" t="str">
        <f>VLOOKUP(A31,PRESUPUESTO!$A$14:$G$84,2,)</f>
        <v xml:space="preserve">Acero de refuerzo Fy= 420 mpa </v>
      </c>
      <c r="C31" s="370"/>
      <c r="D31" s="27" t="str">
        <f>VLOOKUP(A31,PRESUPUESTO!$A$14:$G$84,4,)</f>
        <v>KG</v>
      </c>
      <c r="E31" s="28">
        <f>VLOOKUP(A31,PRESUPUESTO!$A$14:$G$84,5,)</f>
        <v>2425.3614600000014</v>
      </c>
      <c r="F31" s="29">
        <f>VLOOKUP(A31,PRESUPUESTO!$A$14:$G$84,6,)</f>
        <v>12036.66</v>
      </c>
      <c r="G31" s="30">
        <f t="shared" si="5"/>
        <v>29193251.27</v>
      </c>
      <c r="H31" s="130">
        <f t="shared" si="6"/>
        <v>8.471122053988385E-2</v>
      </c>
      <c r="I31" s="354">
        <f>$G$31/2</f>
        <v>14596625.635</v>
      </c>
      <c r="J31" s="354">
        <f>$G$31/2</f>
        <v>14596625.635</v>
      </c>
      <c r="K31" s="320"/>
      <c r="L31" s="319"/>
      <c r="M31" s="320"/>
      <c r="N31" s="319"/>
    </row>
    <row r="32" spans="1:14" s="10" customFormat="1" ht="15.05" x14ac:dyDescent="0.3">
      <c r="A32" s="147">
        <v>3.5</v>
      </c>
      <c r="B32" s="370" t="str">
        <f>VLOOKUP(A32,PRESUPUESTO!$A$14:$G$84,2,)</f>
        <v>Concreto Ciclopeo 60-40 Mejoramiento del terreno (40X40)</v>
      </c>
      <c r="C32" s="370"/>
      <c r="D32" s="27" t="str">
        <f>VLOOKUP(A32,PRESUPUESTO!$A$14:$G$84,4,)</f>
        <v>M3</v>
      </c>
      <c r="E32" s="28">
        <f>VLOOKUP(A32,PRESUPUESTO!$A$14:$G$84,5,)</f>
        <v>19.8704</v>
      </c>
      <c r="F32" s="29">
        <f>VLOOKUP(A32,PRESUPUESTO!$A$14:$G$84,6,)</f>
        <v>445520</v>
      </c>
      <c r="G32" s="30">
        <f t="shared" si="5"/>
        <v>8852660.6099999994</v>
      </c>
      <c r="H32" s="130">
        <f t="shared" si="6"/>
        <v>2.5688118064091624E-2</v>
      </c>
      <c r="I32" s="354">
        <f>G32/1</f>
        <v>8852660.6099999994</v>
      </c>
      <c r="J32" s="317"/>
      <c r="K32" s="320"/>
      <c r="L32" s="319"/>
      <c r="M32" s="320"/>
      <c r="N32" s="319"/>
    </row>
    <row r="33" spans="1:14" s="10" customFormat="1" ht="15.05" x14ac:dyDescent="0.3">
      <c r="A33" s="147">
        <v>3.6</v>
      </c>
      <c r="B33" s="370" t="str">
        <f>VLOOKUP(A33,PRESUPUESTO!$A$14:$G$84,2,)</f>
        <v>Placa de contrapiso e=0.10m concreto 3000 PSI</v>
      </c>
      <c r="C33" s="370"/>
      <c r="D33" s="27" t="str">
        <f>VLOOKUP(A33,PRESUPUESTO!$A$14:$G$84,4,)</f>
        <v>M2</v>
      </c>
      <c r="E33" s="28">
        <f>VLOOKUP(A33,PRESUPUESTO!$A$14:$G$84,5,)</f>
        <v>196.59700000000001</v>
      </c>
      <c r="F33" s="29">
        <f>VLOOKUP(A33,PRESUPUESTO!$A$14:$G$84,6,)</f>
        <v>97613.34</v>
      </c>
      <c r="G33" s="30">
        <f t="shared" si="5"/>
        <v>19190489.800000001</v>
      </c>
      <c r="H33" s="130">
        <f t="shared" si="6"/>
        <v>5.5685808979651606E-2</v>
      </c>
      <c r="I33" s="133"/>
      <c r="J33" s="316"/>
      <c r="K33" s="354">
        <f>G33/1</f>
        <v>19190489.800000001</v>
      </c>
      <c r="L33" s="319"/>
      <c r="M33" s="318"/>
      <c r="N33" s="319"/>
    </row>
    <row r="34" spans="1:14" ht="15.05" x14ac:dyDescent="0.3">
      <c r="A34" s="146">
        <v>4</v>
      </c>
      <c r="B34" s="376" t="str">
        <f>PRESUPUESTO!B36</f>
        <v>INSTALACIONES HIDROSANITARIAS Y ELECTRICAS</v>
      </c>
      <c r="C34" s="377"/>
      <c r="D34" s="377"/>
      <c r="E34" s="377"/>
      <c r="F34" s="377"/>
      <c r="G34" s="378"/>
      <c r="H34" s="132"/>
      <c r="I34" s="132"/>
      <c r="J34" s="132"/>
      <c r="K34" s="313"/>
      <c r="L34" s="321"/>
      <c r="M34" s="313"/>
      <c r="N34" s="321"/>
    </row>
    <row r="35" spans="1:14" s="10" customFormat="1" ht="15.05" x14ac:dyDescent="0.3">
      <c r="A35" s="18">
        <v>4.0999999999999996</v>
      </c>
      <c r="B35" s="580" t="str">
        <f>VLOOKUP(A35,PRESUPUESTO!$A$14:$G$84,2,)</f>
        <v xml:space="preserve">Suministro e instalacion de tuberia hidraulica en PVC presion 3/4"  incluido accesorios   </v>
      </c>
      <c r="C35" s="580"/>
      <c r="D35" s="27" t="str">
        <f>VLOOKUP(A35,PRESUPUESTO!$A$14:$G$84,4,)</f>
        <v>ML</v>
      </c>
      <c r="E35" s="28">
        <f>VLOOKUP(A35,PRESUPUESTO!$A$14:$G$84,5,)</f>
        <v>60.400000000000006</v>
      </c>
      <c r="F35" s="29">
        <f>VLOOKUP(A35,PRESUPUESTO!$A$14:$G$84,6,)</f>
        <v>14335</v>
      </c>
      <c r="G35" s="30">
        <f t="shared" si="5"/>
        <v>865834</v>
      </c>
      <c r="H35" s="130">
        <f t="shared" ref="H35:H52" si="7">G35/$G$77</f>
        <v>2.5124250206520352E-3</v>
      </c>
      <c r="I35" s="133"/>
      <c r="J35" s="354">
        <f>G35/1</f>
        <v>865834</v>
      </c>
      <c r="K35" s="317"/>
      <c r="L35" s="319"/>
      <c r="M35" s="317"/>
      <c r="N35" s="319"/>
    </row>
    <row r="36" spans="1:14" s="10" customFormat="1" ht="15.05" x14ac:dyDescent="0.3">
      <c r="A36" s="18">
        <v>4.2</v>
      </c>
      <c r="B36" s="580" t="str">
        <f>VLOOKUP(A36,PRESUPUESTO!$A$14:$G$84,2,)</f>
        <v xml:space="preserve">Suministro e instalacion de tuberia hidraulica en PVC presion 1/2"  incluido accesorios   </v>
      </c>
      <c r="C36" s="580"/>
      <c r="D36" s="27" t="str">
        <f>VLOOKUP(A36,PRESUPUESTO!$A$14:$G$84,4,)</f>
        <v>ML</v>
      </c>
      <c r="E36" s="28">
        <f>VLOOKUP(A36,PRESUPUESTO!$A$14:$G$84,5,)</f>
        <v>14.600000000000001</v>
      </c>
      <c r="F36" s="29">
        <f>VLOOKUP(A36,PRESUPUESTO!$A$14:$G$84,6,)</f>
        <v>12335</v>
      </c>
      <c r="G36" s="30">
        <f t="shared" si="5"/>
        <v>180091</v>
      </c>
      <c r="H36" s="130">
        <f t="shared" si="7"/>
        <v>5.2257723119471591E-4</v>
      </c>
      <c r="I36" s="133"/>
      <c r="J36" s="354">
        <f t="shared" ref="J36:J38" si="8">G36/1</f>
        <v>180091</v>
      </c>
      <c r="K36" s="317"/>
      <c r="L36" s="319"/>
      <c r="M36" s="317"/>
      <c r="N36" s="319"/>
    </row>
    <row r="37" spans="1:14" s="10" customFormat="1" ht="15.05" x14ac:dyDescent="0.3">
      <c r="A37" s="18">
        <v>4.3</v>
      </c>
      <c r="B37" s="370" t="str">
        <f>VLOOKUP(A37,PRESUPUESTO!$A$14:$G$84,2,)</f>
        <v xml:space="preserve">Suministro e instalacion de  tubieria sanitaria en PVC 4" incluido accesorios </v>
      </c>
      <c r="C37" s="370"/>
      <c r="D37" s="27" t="str">
        <f>VLOOKUP(A37,PRESUPUESTO!$A$14:$G$84,4,)</f>
        <v>ML</v>
      </c>
      <c r="E37" s="28">
        <f>VLOOKUP(A37,PRESUPUESTO!$A$14:$G$84,5,)</f>
        <v>80.94</v>
      </c>
      <c r="F37" s="29">
        <f>VLOOKUP(A37,PRESUPUESTO!$A$14:$G$84,6,)</f>
        <v>54870</v>
      </c>
      <c r="G37" s="30">
        <f t="shared" si="5"/>
        <v>4441177.8</v>
      </c>
      <c r="H37" s="130">
        <f t="shared" si="7"/>
        <v>1.2887142599949135E-2</v>
      </c>
      <c r="I37" s="133"/>
      <c r="J37" s="354">
        <f t="shared" si="8"/>
        <v>4441177.8</v>
      </c>
      <c r="K37" s="317"/>
      <c r="L37" s="319"/>
      <c r="M37" s="317"/>
      <c r="N37" s="319"/>
    </row>
    <row r="38" spans="1:14" s="10" customFormat="1" ht="15.05" x14ac:dyDescent="0.3">
      <c r="A38" s="18">
        <v>4.4000000000000004</v>
      </c>
      <c r="B38" s="370" t="str">
        <f>VLOOKUP(A38,PRESUPUESTO!$A$14:$G$84,2,)</f>
        <v xml:space="preserve">Suministro e instalacion de  tubieria sanitaria en PVC 2" incluido accesorios </v>
      </c>
      <c r="C38" s="370"/>
      <c r="D38" s="27" t="str">
        <f>VLOOKUP(A38,PRESUPUESTO!$A$14:$G$84,4,)</f>
        <v>ML</v>
      </c>
      <c r="E38" s="28">
        <f>VLOOKUP(A38,PRESUPUESTO!$A$14:$G$84,5,)</f>
        <v>48.64</v>
      </c>
      <c r="F38" s="29">
        <f>VLOOKUP(A38,PRESUPUESTO!$A$14:$G$84,6,)</f>
        <v>36633.339999999997</v>
      </c>
      <c r="G38" s="30">
        <f t="shared" si="5"/>
        <v>1781845.66</v>
      </c>
      <c r="H38" s="130">
        <f t="shared" si="7"/>
        <v>5.1704525568691444E-3</v>
      </c>
      <c r="I38" s="133"/>
      <c r="J38" s="354">
        <f t="shared" si="8"/>
        <v>1781845.66</v>
      </c>
      <c r="K38" s="317"/>
      <c r="L38" s="319"/>
      <c r="M38" s="317"/>
      <c r="N38" s="319"/>
    </row>
    <row r="39" spans="1:14" s="10" customFormat="1" ht="15.05" x14ac:dyDescent="0.3">
      <c r="A39" s="18">
        <v>4.5</v>
      </c>
      <c r="B39" s="370" t="str">
        <f>VLOOKUP(A39,PRESUPUESTO!$A$14:$G$84,2,)</f>
        <v xml:space="preserve">construccion de caja de inspeccion sanitaria de (80X80) en mamposteria incluye tapa en concreto </v>
      </c>
      <c r="C39" s="370"/>
      <c r="D39" s="27" t="str">
        <f>VLOOKUP(A39,PRESUPUESTO!$A$14:$G$84,4,)</f>
        <v>UND</v>
      </c>
      <c r="E39" s="28">
        <f>VLOOKUP(A39,PRESUPUESTO!$A$14:$G$84,5,)</f>
        <v>3</v>
      </c>
      <c r="F39" s="29">
        <f>VLOOKUP(A39,PRESUPUESTO!$A$14:$G$84,6,)</f>
        <v>513462.5</v>
      </c>
      <c r="G39" s="30">
        <f t="shared" si="5"/>
        <v>1540387.5</v>
      </c>
      <c r="H39" s="130">
        <f t="shared" si="7"/>
        <v>4.4698037920659576E-3</v>
      </c>
      <c r="I39" s="354">
        <f>G39/1</f>
        <v>1540387.5</v>
      </c>
      <c r="J39" s="316"/>
      <c r="K39" s="317"/>
      <c r="L39" s="319"/>
      <c r="M39" s="317"/>
      <c r="N39" s="319"/>
    </row>
    <row r="40" spans="1:14" s="10" customFormat="1" ht="15.05" x14ac:dyDescent="0.3">
      <c r="A40" s="18">
        <v>4.5999999999999996</v>
      </c>
      <c r="B40" s="370" t="str">
        <f>VLOOKUP(A40,PRESUPUESTO!$A$14:$G$84,2,)</f>
        <v>Punto Sanitario 2"</v>
      </c>
      <c r="C40" s="370"/>
      <c r="D40" s="27" t="str">
        <f>VLOOKUP(A40,PRESUPUESTO!$A$14:$G$84,4,)</f>
        <v>UND</v>
      </c>
      <c r="E40" s="28">
        <f>VLOOKUP(A40,PRESUPUESTO!$A$14:$G$84,5,)</f>
        <v>15</v>
      </c>
      <c r="F40" s="29">
        <f>VLOOKUP(A40,PRESUPUESTO!$A$14:$G$84,6,)</f>
        <v>75066.66</v>
      </c>
      <c r="G40" s="30">
        <f t="shared" si="5"/>
        <v>1125999.8999999999</v>
      </c>
      <c r="H40" s="130">
        <f t="shared" si="7"/>
        <v>3.2673587801029863E-3</v>
      </c>
      <c r="I40" s="133"/>
      <c r="J40" s="316"/>
      <c r="K40" s="354">
        <f>G40/1</f>
        <v>1125999.8999999999</v>
      </c>
      <c r="L40" s="319"/>
      <c r="M40" s="317"/>
      <c r="N40" s="319"/>
    </row>
    <row r="41" spans="1:14" s="10" customFormat="1" ht="15.05" x14ac:dyDescent="0.3">
      <c r="A41" s="18">
        <v>4.7</v>
      </c>
      <c r="B41" s="370" t="str">
        <f>VLOOKUP(A41,PRESUPUESTO!$A$14:$G$84,2,)</f>
        <v>Punto Sanitario 4"</v>
      </c>
      <c r="C41" s="370"/>
      <c r="D41" s="27" t="str">
        <f>VLOOKUP(A41,PRESUPUESTO!$A$14:$G$84,4,)</f>
        <v>UND</v>
      </c>
      <c r="E41" s="28">
        <f>VLOOKUP(A41,PRESUPUESTO!$A$14:$G$84,5,)</f>
        <v>7</v>
      </c>
      <c r="F41" s="29">
        <f>VLOOKUP(A41,PRESUPUESTO!$A$14:$G$84,6,)</f>
        <v>153900</v>
      </c>
      <c r="G41" s="30">
        <f t="shared" si="5"/>
        <v>1077300</v>
      </c>
      <c r="H41" s="130">
        <f t="shared" si="7"/>
        <v>3.1260443396175681E-3</v>
      </c>
      <c r="I41" s="133"/>
      <c r="J41" s="316"/>
      <c r="K41" s="354">
        <f>G41/1</f>
        <v>1077300</v>
      </c>
      <c r="L41" s="319"/>
      <c r="M41" s="317"/>
      <c r="N41" s="319"/>
    </row>
    <row r="42" spans="1:14" s="10" customFormat="1" ht="15.05" x14ac:dyDescent="0.3">
      <c r="A42" s="18">
        <v>4.8</v>
      </c>
      <c r="B42" s="370" t="str">
        <f>VLOOKUP(A42,PRESUPUESTO!$A$14:$G$84,2,)</f>
        <v>Suministro e instalación de ducha tipo telefónica cromada, incluye regadera, brazo, chapeta, accesorios de fijación, conexiones</v>
      </c>
      <c r="C42" s="370"/>
      <c r="D42" s="27" t="str">
        <f>VLOOKUP(A42,PRESUPUESTO!$A$14:$G$84,4,)</f>
        <v>UND</v>
      </c>
      <c r="E42" s="28">
        <f>VLOOKUP(A42,PRESUPUESTO!$A$14:$G$84,5,)</f>
        <v>4</v>
      </c>
      <c r="F42" s="29">
        <f>VLOOKUP(A42,PRESUPUESTO!$A$14:$G$84,6,)</f>
        <v>239825</v>
      </c>
      <c r="G42" s="30">
        <f t="shared" si="5"/>
        <v>959300</v>
      </c>
      <c r="H42" s="130">
        <f t="shared" si="7"/>
        <v>2.783639037403818E-3</v>
      </c>
      <c r="I42" s="133"/>
      <c r="J42" s="316"/>
      <c r="K42" s="317"/>
      <c r="L42" s="319"/>
      <c r="M42" s="317"/>
      <c r="N42" s="354">
        <f>G42/1</f>
        <v>959300</v>
      </c>
    </row>
    <row r="43" spans="1:14" s="10" customFormat="1" ht="15.05" x14ac:dyDescent="0.3">
      <c r="A43" s="18">
        <v>4.9000000000000004</v>
      </c>
      <c r="B43" s="370" t="str">
        <f>VLOOKUP(A43,PRESUPUESTO!$A$14:$G$84,2,)</f>
        <v>Suministro e instalación de taza sanitaria tipo institucional (incluye accesorios de fijación y conexión)</v>
      </c>
      <c r="C43" s="370"/>
      <c r="D43" s="27" t="str">
        <f>VLOOKUP(A43,PRESUPUESTO!$A$14:$G$84,4,)</f>
        <v>UND</v>
      </c>
      <c r="E43" s="28">
        <f>VLOOKUP(A43,PRESUPUESTO!$A$14:$G$84,5,)</f>
        <v>4</v>
      </c>
      <c r="F43" s="29">
        <f>VLOOKUP(A43,PRESUPUESTO!$A$14:$G$84,6,)</f>
        <v>383616.66</v>
      </c>
      <c r="G43" s="30">
        <f t="shared" si="5"/>
        <v>1534466.64</v>
      </c>
      <c r="H43" s="130">
        <f t="shared" si="7"/>
        <v>4.452622996662014E-3</v>
      </c>
      <c r="I43" s="133"/>
      <c r="J43" s="316"/>
      <c r="K43" s="317"/>
      <c r="L43" s="319"/>
      <c r="M43" s="317"/>
      <c r="N43" s="354">
        <f t="shared" ref="N43:N45" si="9">G43/1</f>
        <v>1534466.64</v>
      </c>
    </row>
    <row r="44" spans="1:14" s="10" customFormat="1" ht="15.05" x14ac:dyDescent="0.3">
      <c r="A44" s="306">
        <v>4.0999999999999996</v>
      </c>
      <c r="B44" s="370" t="str">
        <f>PRESUPUESTO!B46</f>
        <v>Suministro e instalación de lavamanos institucional sobreponer línea económica</v>
      </c>
      <c r="C44" s="370"/>
      <c r="D44" s="27" t="str">
        <f>PRESUPUESTO!D46</f>
        <v>UND</v>
      </c>
      <c r="E44" s="28">
        <f>PRESUPUESTO!E46</f>
        <v>7</v>
      </c>
      <c r="F44" s="29">
        <f>PRESUPUESTO!F46</f>
        <v>311253.34000000003</v>
      </c>
      <c r="G44" s="30">
        <f t="shared" si="5"/>
        <v>2178773.38</v>
      </c>
      <c r="H44" s="130">
        <f t="shared" si="7"/>
        <v>6.3222335392726595E-3</v>
      </c>
      <c r="I44" s="133"/>
      <c r="J44" s="316"/>
      <c r="K44" s="317"/>
      <c r="L44" s="319"/>
      <c r="M44" s="317"/>
      <c r="N44" s="354">
        <f t="shared" si="9"/>
        <v>2178773.38</v>
      </c>
    </row>
    <row r="45" spans="1:14" s="10" customFormat="1" ht="15.05" x14ac:dyDescent="0.3">
      <c r="A45" s="18">
        <v>4.1100000000000003</v>
      </c>
      <c r="B45" s="370" t="str">
        <f>VLOOKUP(A45,PRESUPUESTO!$A$14:$G$84,2,)</f>
        <v>Suministro e instalación de unidad sanitaria tipo PMR (personas con movilidad reducida) línea económica</v>
      </c>
      <c r="C45" s="370"/>
      <c r="D45" s="27" t="str">
        <f>VLOOKUP(A45,PRESUPUESTO!$A$14:$G$84,4,)</f>
        <v>UND</v>
      </c>
      <c r="E45" s="28">
        <f>VLOOKUP(A45,PRESUPUESTO!$A$14:$G$84,5,)</f>
        <v>3</v>
      </c>
      <c r="F45" s="29">
        <f>VLOOKUP(A45,PRESUPUESTO!$A$14:$G$84,6,)</f>
        <v>1000208.34</v>
      </c>
      <c r="G45" s="30">
        <f t="shared" si="5"/>
        <v>3000625.02</v>
      </c>
      <c r="H45" s="130">
        <f t="shared" si="7"/>
        <v>8.7070331932477974E-3</v>
      </c>
      <c r="I45" s="133"/>
      <c r="J45" s="316"/>
      <c r="K45" s="317"/>
      <c r="L45" s="319"/>
      <c r="M45" s="317"/>
      <c r="N45" s="354">
        <f t="shared" si="9"/>
        <v>3000625.02</v>
      </c>
    </row>
    <row r="46" spans="1:14" s="10" customFormat="1" ht="15.05" x14ac:dyDescent="0.3">
      <c r="A46" s="18">
        <v>4.12</v>
      </c>
      <c r="B46" s="370" t="str">
        <f>VLOOKUP(A46,PRESUPUESTO!$A$14:$G$84,2,)</f>
        <v>Sondeo de redes sanitarias</v>
      </c>
      <c r="C46" s="370"/>
      <c r="D46" s="27" t="str">
        <f>VLOOKUP(A46,PRESUPUESTO!$A$14:$G$84,4,)</f>
        <v>ML</v>
      </c>
      <c r="E46" s="28">
        <f>VLOOKUP(A46,PRESUPUESTO!$A$14:$G$84,5,)</f>
        <v>30</v>
      </c>
      <c r="F46" s="29">
        <f>VLOOKUP(A46,PRESUPUESTO!$A$14:$G$84,6,)</f>
        <v>7565</v>
      </c>
      <c r="G46" s="30">
        <f t="shared" si="5"/>
        <v>226950</v>
      </c>
      <c r="H46" s="130">
        <f t="shared" si="7"/>
        <v>6.5854985879161521E-4</v>
      </c>
      <c r="I46" s="354">
        <f>G46/1</f>
        <v>226950</v>
      </c>
      <c r="J46" s="316"/>
      <c r="K46" s="317"/>
      <c r="L46" s="319"/>
      <c r="M46" s="317"/>
      <c r="N46" s="319"/>
    </row>
    <row r="47" spans="1:14" s="10" customFormat="1" ht="15.05" x14ac:dyDescent="0.3">
      <c r="A47" s="18">
        <v>4.13</v>
      </c>
      <c r="B47" s="370" t="str">
        <f>VLOOKUP(A47,PRESUPUESTO!$A$14:$G$84,2,)</f>
        <v>Punto electrico 1/2"</v>
      </c>
      <c r="C47" s="370"/>
      <c r="D47" s="27" t="str">
        <f>VLOOKUP(A47,PRESUPUESTO!$A$14:$G$84,4,)</f>
        <v>UND</v>
      </c>
      <c r="E47" s="28">
        <f>VLOOKUP(A47,PRESUPUESTO!$A$14:$G$84,5,)</f>
        <v>54</v>
      </c>
      <c r="F47" s="29">
        <f>VLOOKUP(A47,PRESUPUESTO!$A$14:$G$84,6,)</f>
        <v>58975</v>
      </c>
      <c r="G47" s="30">
        <f t="shared" si="5"/>
        <v>3184650</v>
      </c>
      <c r="H47" s="130">
        <f t="shared" si="7"/>
        <v>9.2410258109747404E-3</v>
      </c>
      <c r="I47" s="133"/>
      <c r="J47" s="316"/>
      <c r="K47" s="317"/>
      <c r="L47" s="319"/>
      <c r="M47" s="354">
        <f>G47/1</f>
        <v>3184650</v>
      </c>
      <c r="N47" s="319"/>
    </row>
    <row r="48" spans="1:14" s="10" customFormat="1" ht="15.05" x14ac:dyDescent="0.3">
      <c r="A48" s="18">
        <v>4.1399999999999997</v>
      </c>
      <c r="B48" s="370" t="str">
        <f>VLOOKUP(A48,PRESUPUESTO!$A$14:$G$84,2,)</f>
        <v>Tuberia EMT 1/2"</v>
      </c>
      <c r="C48" s="370"/>
      <c r="D48" s="27" t="str">
        <f>VLOOKUP(A48,PRESUPUESTO!$A$14:$G$84,4,)</f>
        <v>ML</v>
      </c>
      <c r="E48" s="28">
        <f>VLOOKUP(A48,PRESUPUESTO!$A$14:$G$84,5,)</f>
        <v>209.37999999999994</v>
      </c>
      <c r="F48" s="29">
        <f>VLOOKUP(A48,PRESUPUESTO!$A$14:$G$84,6,)</f>
        <v>27480</v>
      </c>
      <c r="G48" s="30">
        <f t="shared" si="5"/>
        <v>5753762.4000000004</v>
      </c>
      <c r="H48" s="130">
        <f t="shared" si="7"/>
        <v>1.6695921639306038E-2</v>
      </c>
      <c r="I48" s="133"/>
      <c r="J48" s="316"/>
      <c r="K48" s="317"/>
      <c r="L48" s="319"/>
      <c r="M48" s="354">
        <f t="shared" ref="M48:M52" si="10">G48/1</f>
        <v>5753762.4000000004</v>
      </c>
      <c r="N48" s="319"/>
    </row>
    <row r="49" spans="1:14" s="10" customFormat="1" ht="15.05" x14ac:dyDescent="0.3">
      <c r="A49" s="18">
        <v>4.1500000000000004</v>
      </c>
      <c r="B49" s="370" t="str">
        <f>VLOOKUP(A49,PRESUPUESTO!$A$14:$G$84,2,)</f>
        <v>Interrutor sencillo</v>
      </c>
      <c r="C49" s="370"/>
      <c r="D49" s="27" t="str">
        <f>VLOOKUP(A49,PRESUPUESTO!$A$14:$G$84,4,)</f>
        <v>UND</v>
      </c>
      <c r="E49" s="28">
        <f>VLOOKUP(A49,PRESUPUESTO!$A$14:$G$84,5,)</f>
        <v>10</v>
      </c>
      <c r="F49" s="29">
        <f>VLOOKUP(A49,PRESUPUESTO!$A$14:$G$84,6,)</f>
        <v>31006.25</v>
      </c>
      <c r="G49" s="30">
        <f t="shared" si="5"/>
        <v>310062.5</v>
      </c>
      <c r="H49" s="130">
        <f t="shared" si="7"/>
        <v>8.9972071201399064E-4</v>
      </c>
      <c r="I49" s="133"/>
      <c r="J49" s="316"/>
      <c r="K49" s="317"/>
      <c r="L49" s="319"/>
      <c r="M49" s="354">
        <f t="shared" si="10"/>
        <v>310062.5</v>
      </c>
      <c r="N49" s="319"/>
    </row>
    <row r="50" spans="1:14" s="10" customFormat="1" ht="15.05" x14ac:dyDescent="0.3">
      <c r="A50" s="18">
        <v>4.16</v>
      </c>
      <c r="B50" s="370" t="str">
        <f>VLOOKUP(A50,PRESUPUESTO!$A$14:$G$84,2,)</f>
        <v>Tomacorriente doble.</v>
      </c>
      <c r="C50" s="370"/>
      <c r="D50" s="27" t="str">
        <f>VLOOKUP(A50,PRESUPUESTO!$A$14:$G$84,4,)</f>
        <v>UND</v>
      </c>
      <c r="E50" s="28">
        <f>VLOOKUP(A50,PRESUPUESTO!$A$14:$G$84,5,)</f>
        <v>13</v>
      </c>
      <c r="F50" s="29">
        <f>VLOOKUP(A50,PRESUPUESTO!$A$14:$G$84,6,)</f>
        <v>21006.25</v>
      </c>
      <c r="G50" s="30">
        <f t="shared" si="5"/>
        <v>273081.25</v>
      </c>
      <c r="H50" s="130">
        <f t="shared" si="7"/>
        <v>7.9241074521320897E-4</v>
      </c>
      <c r="I50" s="133"/>
      <c r="J50" s="316"/>
      <c r="K50" s="317"/>
      <c r="L50" s="319"/>
      <c r="M50" s="354">
        <f t="shared" si="10"/>
        <v>273081.25</v>
      </c>
      <c r="N50" s="319"/>
    </row>
    <row r="51" spans="1:14" s="10" customFormat="1" ht="15.05" x14ac:dyDescent="0.3">
      <c r="A51" s="18">
        <v>4.17</v>
      </c>
      <c r="B51" s="370" t="str">
        <f>VLOOKUP(A51,PRESUPUESTO!$A$14:$G$84,2,)</f>
        <v>Tomacorriente GFCI</v>
      </c>
      <c r="C51" s="370"/>
      <c r="D51" s="27" t="str">
        <f>VLOOKUP(A51,PRESUPUESTO!$A$14:$G$84,4,)</f>
        <v>UND</v>
      </c>
      <c r="E51" s="28">
        <f>VLOOKUP(A51,PRESUPUESTO!$A$14:$G$84,5,)</f>
        <v>4</v>
      </c>
      <c r="F51" s="29">
        <f>VLOOKUP(A51,PRESUPUESTO!$A$14:$G$84,6,)</f>
        <v>31006.25</v>
      </c>
      <c r="G51" s="30">
        <f t="shared" si="5"/>
        <v>124025</v>
      </c>
      <c r="H51" s="130">
        <f t="shared" si="7"/>
        <v>3.5988828480559626E-4</v>
      </c>
      <c r="I51" s="133"/>
      <c r="J51" s="316"/>
      <c r="K51" s="317"/>
      <c r="L51" s="319"/>
      <c r="M51" s="354">
        <f t="shared" si="10"/>
        <v>124025</v>
      </c>
      <c r="N51" s="319"/>
    </row>
    <row r="52" spans="1:14" s="10" customFormat="1" ht="15.05" x14ac:dyDescent="0.3">
      <c r="A52" s="18">
        <v>4.18</v>
      </c>
      <c r="B52" s="370" t="str">
        <f>VLOOKUP(A52,PRESUPUESTO!$A$14:$G$84,2,)</f>
        <v>Tuberia PVC Conduit 1/2"</v>
      </c>
      <c r="C52" s="370"/>
      <c r="D52" s="27" t="str">
        <f>VLOOKUP(A52,PRESUPUESTO!$A$14:$G$84,4,)</f>
        <v>ML</v>
      </c>
      <c r="E52" s="28">
        <f>VLOOKUP(A52,PRESUPUESTO!$A$14:$G$84,5,)</f>
        <v>16</v>
      </c>
      <c r="F52" s="29">
        <f>VLOOKUP(A52,PRESUPUESTO!$A$14:$G$84,6,)</f>
        <v>18340</v>
      </c>
      <c r="G52" s="30">
        <f t="shared" ref="G52" si="11">+ROUND(E52*F52,2)</f>
        <v>293440</v>
      </c>
      <c r="H52" s="130">
        <f t="shared" si="7"/>
        <v>8.5148654136951555E-4</v>
      </c>
      <c r="I52" s="133"/>
      <c r="J52" s="316"/>
      <c r="K52" s="317"/>
      <c r="L52" s="319"/>
      <c r="M52" s="354">
        <f t="shared" si="10"/>
        <v>293440</v>
      </c>
      <c r="N52" s="319"/>
    </row>
    <row r="53" spans="1:14" ht="15.05" x14ac:dyDescent="0.3">
      <c r="A53" s="146">
        <v>5</v>
      </c>
      <c r="B53" s="376" t="str">
        <f>PRESUPUESTO!B56</f>
        <v>CUBIERTA</v>
      </c>
      <c r="C53" s="377"/>
      <c r="D53" s="377"/>
      <c r="E53" s="377"/>
      <c r="F53" s="377"/>
      <c r="G53" s="378"/>
      <c r="H53" s="132"/>
      <c r="I53" s="132"/>
      <c r="J53" s="132"/>
      <c r="K53" s="313"/>
      <c r="L53" s="321"/>
      <c r="M53" s="313"/>
      <c r="N53" s="321"/>
    </row>
    <row r="54" spans="1:14" s="10" customFormat="1" ht="15.05" x14ac:dyDescent="0.3">
      <c r="A54" s="18">
        <v>5.0999999999999996</v>
      </c>
      <c r="B54" s="370" t="str">
        <f>VLOOKUP(A54,PRESUPUESTO!$A$14:$G$84,2,)</f>
        <v xml:space="preserve">Suministro e instalacion de correas metalicas en perfil retangular de ( 120 x 50 x 2 mm) </v>
      </c>
      <c r="C54" s="370"/>
      <c r="D54" s="27" t="str">
        <f>VLOOKUP(A54,PRESUPUESTO!$A$14:$G$84,4,)</f>
        <v>ML</v>
      </c>
      <c r="E54" s="28">
        <f>VLOOKUP(A54,PRESUPUESTO!$A$14:$G$84,5,)</f>
        <v>271.8</v>
      </c>
      <c r="F54" s="29">
        <f>VLOOKUP(A54,PRESUPUESTO!$A$14:$G$84,6,)</f>
        <v>53550</v>
      </c>
      <c r="G54" s="30">
        <f t="shared" si="5"/>
        <v>14554890</v>
      </c>
      <c r="H54" s="130">
        <f>G54/$G$77</f>
        <v>4.2234504314727882E-2</v>
      </c>
      <c r="I54" s="133"/>
      <c r="J54" s="316"/>
      <c r="K54" s="317"/>
      <c r="L54" s="319"/>
      <c r="M54" s="354">
        <f>$G$54/2</f>
        <v>7277445</v>
      </c>
      <c r="N54" s="354">
        <f>$G$54/2</f>
        <v>7277445</v>
      </c>
    </row>
    <row r="55" spans="1:14" s="10" customFormat="1" ht="15.05" x14ac:dyDescent="0.3">
      <c r="A55" s="18">
        <v>5.2</v>
      </c>
      <c r="B55" s="370" t="str">
        <f>VLOOKUP(A55,PRESUPUESTO!$A$14:$G$84,2,)</f>
        <v>Suministro e instalacion de tejas arquitectonica de Cal 28</v>
      </c>
      <c r="C55" s="370"/>
      <c r="D55" s="27" t="str">
        <f>VLOOKUP(A55,PRESUPUESTO!$A$14:$G$84,4,)</f>
        <v>M2</v>
      </c>
      <c r="E55" s="28">
        <f>VLOOKUP(A55,PRESUPUESTO!$A$14:$G$84,5,)</f>
        <v>205.36</v>
      </c>
      <c r="F55" s="29">
        <f>VLOOKUP(A55,PRESUPUESTO!$A$14:$G$84,6,)</f>
        <v>69033.83</v>
      </c>
      <c r="G55" s="30">
        <f t="shared" si="5"/>
        <v>14176787.33</v>
      </c>
      <c r="H55" s="130">
        <f>G55/$G$77</f>
        <v>4.1137348730073846E-2</v>
      </c>
      <c r="I55" s="133"/>
      <c r="J55" s="316"/>
      <c r="K55" s="317"/>
      <c r="L55" s="319"/>
      <c r="M55" s="354">
        <f>$G$55/2</f>
        <v>7088393.665</v>
      </c>
      <c r="N55" s="354">
        <f>$G$55/2</f>
        <v>7088393.665</v>
      </c>
    </row>
    <row r="56" spans="1:14" s="10" customFormat="1" ht="15.05" x14ac:dyDescent="0.3">
      <c r="A56" s="18">
        <v>5.3</v>
      </c>
      <c r="B56" s="370" t="str">
        <f>VLOOKUP(A56,PRESUPUESTO!$A$14:$G$84,2,)</f>
        <v>Suministro e instalacion de caballete arquitectonico de Cal 28</v>
      </c>
      <c r="C56" s="370"/>
      <c r="D56" s="27" t="str">
        <f>VLOOKUP(A56,PRESUPUESTO!$A$14:$G$84,4,)</f>
        <v>ML</v>
      </c>
      <c r="E56" s="28">
        <f>VLOOKUP(A56,PRESUPUESTO!$A$14:$G$84,5,)</f>
        <v>15.1</v>
      </c>
      <c r="F56" s="29">
        <f>VLOOKUP(A56,PRESUPUESTO!$A$14:$G$84,6,)</f>
        <v>35992.22</v>
      </c>
      <c r="G56" s="30">
        <f t="shared" ref="G56" si="12">+ROUND(E56*F56,2)</f>
        <v>543482.52</v>
      </c>
      <c r="H56" s="130">
        <f>G56/$G$77</f>
        <v>1.5770448856651739E-3</v>
      </c>
      <c r="I56" s="133"/>
      <c r="J56" s="316"/>
      <c r="K56" s="317"/>
      <c r="L56" s="319"/>
      <c r="M56" s="317"/>
      <c r="N56" s="354">
        <f>G56/1</f>
        <v>543482.52</v>
      </c>
    </row>
    <row r="57" spans="1:14" ht="15.05" x14ac:dyDescent="0.3">
      <c r="A57" s="146">
        <v>6</v>
      </c>
      <c r="B57" s="376" t="str">
        <f>PRESUPUESTO!B61</f>
        <v>MAMPOSTERIA, ACABADOS, PINTURA Y PISOS</v>
      </c>
      <c r="C57" s="377"/>
      <c r="D57" s="377"/>
      <c r="E57" s="377"/>
      <c r="F57" s="377"/>
      <c r="G57" s="378"/>
      <c r="H57" s="132"/>
      <c r="I57" s="132"/>
      <c r="J57" s="132"/>
      <c r="K57" s="313"/>
      <c r="L57" s="321"/>
      <c r="M57" s="313"/>
      <c r="N57" s="321"/>
    </row>
    <row r="58" spans="1:14" s="10" customFormat="1" ht="15.05" x14ac:dyDescent="0.3">
      <c r="A58" s="18">
        <v>6.1</v>
      </c>
      <c r="B58" s="370" t="str">
        <f>VLOOKUP(A58,PRESUPUESTO!$A$14:$G$84,2,)</f>
        <v>Muro en mamposteria en ladrillo farol No4.</v>
      </c>
      <c r="C58" s="370"/>
      <c r="D58" s="27" t="str">
        <f>VLOOKUP(A58,PRESUPUESTO!$A$14:$G$84,4,)</f>
        <v>M2</v>
      </c>
      <c r="E58" s="28">
        <f>VLOOKUP(A58,PRESUPUESTO!$A$14:$G$84,5,)</f>
        <v>323.81049999999993</v>
      </c>
      <c r="F58" s="29">
        <f>VLOOKUP(A58,PRESUPUESTO!$A$14:$G$84,6,)</f>
        <v>72137.119999999995</v>
      </c>
      <c r="G58" s="30">
        <f t="shared" si="5"/>
        <v>23358756.899999999</v>
      </c>
      <c r="H58" s="130">
        <f t="shared" ref="H58:H66" si="13">G58/$G$77</f>
        <v>6.7781035726118821E-2</v>
      </c>
      <c r="I58" s="133"/>
      <c r="J58" s="316"/>
      <c r="K58" s="354">
        <f>$G$58/2</f>
        <v>11679378.449999999</v>
      </c>
      <c r="L58" s="354">
        <f>$G$58/2</f>
        <v>11679378.449999999</v>
      </c>
      <c r="M58" s="317"/>
      <c r="N58" s="319"/>
    </row>
    <row r="59" spans="1:14" s="10" customFormat="1" ht="15.05" x14ac:dyDescent="0.3">
      <c r="A59" s="18">
        <v>6.2</v>
      </c>
      <c r="B59" s="370" t="str">
        <f>VLOOKUP(A59,PRESUPUESTO!$A$14:$G$84,2,)</f>
        <v>Muro en mamposteria en ladrillo farol No3</v>
      </c>
      <c r="C59" s="370"/>
      <c r="D59" s="27" t="str">
        <f>VLOOKUP(A59,PRESUPUESTO!$A$14:$G$84,4,)</f>
        <v>M2</v>
      </c>
      <c r="E59" s="28">
        <f>VLOOKUP(A59,PRESUPUESTO!$A$14:$G$84,5,)</f>
        <v>13.209000000000001</v>
      </c>
      <c r="F59" s="29">
        <f>VLOOKUP(A59,PRESUPUESTO!$A$14:$G$84,6,)</f>
        <v>67276</v>
      </c>
      <c r="G59" s="30">
        <f t="shared" si="5"/>
        <v>888648.68</v>
      </c>
      <c r="H59" s="130">
        <f t="shared" si="13"/>
        <v>2.5786272867563574E-3</v>
      </c>
      <c r="I59" s="354">
        <f>$G$59/1</f>
        <v>888648.68</v>
      </c>
      <c r="J59" s="316"/>
      <c r="K59" s="317"/>
      <c r="L59" s="319"/>
      <c r="M59" s="317"/>
      <c r="N59" s="319"/>
    </row>
    <row r="60" spans="1:14" s="10" customFormat="1" ht="15.05" x14ac:dyDescent="0.3">
      <c r="A60" s="18">
        <v>6.3</v>
      </c>
      <c r="B60" s="370" t="str">
        <f>VLOOKUP(A60,PRESUPUESTO!$A$14:$G$84,2,)</f>
        <v>Suministro y construcción de bordillo en mampostería estructural de ladrillo a la vista, h=0,50 m, con alfajía en concreto reforzado fundido en sitio</v>
      </c>
      <c r="C60" s="370"/>
      <c r="D60" s="27" t="str">
        <f>VLOOKUP(A60,PRESUPUESTO!$A$14:$G$84,4,)</f>
        <v>ML</v>
      </c>
      <c r="E60" s="28">
        <f>VLOOKUP(A60,PRESUPUESTO!$A$14:$G$84,5,)</f>
        <v>10</v>
      </c>
      <c r="F60" s="29">
        <f>VLOOKUP(A60,PRESUPUESTO!$A$14:$G$84,6,)</f>
        <v>104540.88398399999</v>
      </c>
      <c r="G60" s="30">
        <f t="shared" si="5"/>
        <v>1045408.84</v>
      </c>
      <c r="H60" s="130">
        <f t="shared" si="13"/>
        <v>3.033504489806152E-3</v>
      </c>
      <c r="I60" s="354">
        <f>$G$60/1</f>
        <v>1045408.84</v>
      </c>
      <c r="J60" s="316"/>
      <c r="K60" s="317"/>
      <c r="L60" s="319"/>
      <c r="M60" s="317"/>
      <c r="N60" s="319"/>
    </row>
    <row r="61" spans="1:14" s="10" customFormat="1" ht="15.05" x14ac:dyDescent="0.3">
      <c r="A61" s="18">
        <v>6.4</v>
      </c>
      <c r="B61" s="370" t="str">
        <f>VLOOKUP(A61,PRESUPUESTO!$A$14:$G$84,2,)</f>
        <v xml:space="preserve">aplicación de pañete interior y exterior </v>
      </c>
      <c r="C61" s="370"/>
      <c r="D61" s="27" t="str">
        <f>VLOOKUP(A61,PRESUPUESTO!$A$14:$G$84,4,)</f>
        <v>M2</v>
      </c>
      <c r="E61" s="28">
        <f>VLOOKUP(A61,PRESUPUESTO!$A$14:$G$84,5,)</f>
        <v>639.02549999999997</v>
      </c>
      <c r="F61" s="29">
        <f>VLOOKUP(A61,PRESUPUESTO!$A$14:$G$84,6,)</f>
        <v>35728</v>
      </c>
      <c r="G61" s="30">
        <f t="shared" si="5"/>
        <v>22831103.059999999</v>
      </c>
      <c r="H61" s="130">
        <f t="shared" si="13"/>
        <v>6.6249921551970972E-2</v>
      </c>
      <c r="I61" s="133"/>
      <c r="J61" s="316"/>
      <c r="K61" s="317"/>
      <c r="L61" s="354">
        <f>$G$61/2</f>
        <v>11415551.529999999</v>
      </c>
      <c r="M61" s="354">
        <f>$G$61/2</f>
        <v>11415551.529999999</v>
      </c>
      <c r="N61" s="319"/>
    </row>
    <row r="62" spans="1:14" s="10" customFormat="1" ht="15.05" x14ac:dyDescent="0.3">
      <c r="A62" s="18">
        <v>6.5</v>
      </c>
      <c r="B62" s="370" t="str">
        <f>VLOOKUP(A62,PRESUPUESTO!$A$14:$G$84,2,)</f>
        <v xml:space="preserve">aplicación de estuco plastico </v>
      </c>
      <c r="C62" s="370"/>
      <c r="D62" s="27" t="str">
        <f>VLOOKUP(A62,PRESUPUESTO!$A$14:$G$84,4,)</f>
        <v>M2</v>
      </c>
      <c r="E62" s="28">
        <f>VLOOKUP(A62,PRESUPUESTO!$A$14:$G$84,5,)</f>
        <v>639.02549999999997</v>
      </c>
      <c r="F62" s="29">
        <f>VLOOKUP(A62,PRESUPUESTO!$A$14:$G$84,6,)</f>
        <v>22412.5</v>
      </c>
      <c r="G62" s="30">
        <f t="shared" si="5"/>
        <v>14322159.02</v>
      </c>
      <c r="H62" s="130">
        <f t="shared" si="13"/>
        <v>4.1559179555902437E-2</v>
      </c>
      <c r="I62" s="133"/>
      <c r="J62" s="316"/>
      <c r="K62" s="317"/>
      <c r="L62" s="354">
        <f>$G$62/2</f>
        <v>7161079.5099999998</v>
      </c>
      <c r="M62" s="354">
        <f>$G$62/2</f>
        <v>7161079.5099999998</v>
      </c>
      <c r="N62" s="319"/>
    </row>
    <row r="63" spans="1:14" s="10" customFormat="1" ht="15.05" x14ac:dyDescent="0.3">
      <c r="A63" s="18">
        <v>6.6</v>
      </c>
      <c r="B63" s="370" t="str">
        <f>VLOOKUP(A63,PRESUPUESTO!$A$14:$G$84,2,)</f>
        <v xml:space="preserve">aplicación de pintura en acabado de muros </v>
      </c>
      <c r="C63" s="370"/>
      <c r="D63" s="27" t="str">
        <f>VLOOKUP(A63,PRESUPUESTO!$A$14:$G$84,4,)</f>
        <v>M2</v>
      </c>
      <c r="E63" s="28">
        <f>VLOOKUP(A63,PRESUPUESTO!$A$14:$G$84,5,)</f>
        <v>1194.5158999999999</v>
      </c>
      <c r="F63" s="29">
        <f>VLOOKUP(A63,PRESUPUESTO!$A$14:$G$84,6,)</f>
        <v>18500</v>
      </c>
      <c r="G63" s="30">
        <f t="shared" si="5"/>
        <v>22098544.149999999</v>
      </c>
      <c r="H63" s="130">
        <f t="shared" si="13"/>
        <v>6.4124226170886867E-2</v>
      </c>
      <c r="I63" s="133"/>
      <c r="J63" s="316"/>
      <c r="K63" s="317"/>
      <c r="L63" s="319"/>
      <c r="M63" s="354">
        <f>$G$63/1</f>
        <v>22098544.149999999</v>
      </c>
      <c r="N63" s="319"/>
    </row>
    <row r="64" spans="1:14" s="10" customFormat="1" ht="15.05" x14ac:dyDescent="0.3">
      <c r="A64" s="18">
        <v>6.7</v>
      </c>
      <c r="B64" s="370" t="str">
        <f>VLOOKUP(A64,PRESUPUESTO!$A$14:$G$84,2,)</f>
        <v>Instalacion de ceramica antideslizante formato 35X35</v>
      </c>
      <c r="C64" s="370"/>
      <c r="D64" s="27" t="str">
        <f>VLOOKUP(A64,PRESUPUESTO!$A$14:$G$84,4,)</f>
        <v>M2</v>
      </c>
      <c r="E64" s="28">
        <f>VLOOKUP(A64,PRESUPUESTO!$A$14:$G$84,5,)</f>
        <v>193.62849999999997</v>
      </c>
      <c r="F64" s="29">
        <f>VLOOKUP(A64,PRESUPUESTO!$A$14:$G$84,6,)</f>
        <v>96075</v>
      </c>
      <c r="G64" s="30">
        <f t="shared" si="5"/>
        <v>18602858.140000001</v>
      </c>
      <c r="H64" s="130">
        <f t="shared" si="13"/>
        <v>5.3980654775137471E-2</v>
      </c>
      <c r="I64" s="133"/>
      <c r="J64" s="316"/>
      <c r="K64" s="317"/>
      <c r="L64" s="354">
        <f>$G$64/2</f>
        <v>9301429.0700000003</v>
      </c>
      <c r="M64" s="354">
        <f>$G$64/2</f>
        <v>9301429.0700000003</v>
      </c>
      <c r="N64" s="319"/>
    </row>
    <row r="65" spans="1:14" s="10" customFormat="1" ht="15.05" x14ac:dyDescent="0.3">
      <c r="A65" s="18">
        <v>6.8</v>
      </c>
      <c r="B65" s="370" t="str">
        <f>VLOOKUP(A65,PRESUPUESTO!$A$14:$G$84,2,)</f>
        <v>Suministro e instalación de cerámica para pared 30x30 cm color blanco (incluye alistado)</v>
      </c>
      <c r="C65" s="370"/>
      <c r="D65" s="27" t="str">
        <f>VLOOKUP(A65,PRESUPUESTO!$A$14:$G$84,4,)</f>
        <v>M2</v>
      </c>
      <c r="E65" s="28">
        <f>VLOOKUP(A65,PRESUPUESTO!$A$14:$G$84,5,)</f>
        <v>61.406999999999996</v>
      </c>
      <c r="F65" s="29">
        <f>VLOOKUP(A65,PRESUPUESTO!$A$14:$G$84,6,)</f>
        <v>95250</v>
      </c>
      <c r="G65" s="30">
        <f t="shared" si="5"/>
        <v>5849016.75</v>
      </c>
      <c r="H65" s="130">
        <f t="shared" si="13"/>
        <v>1.6972324982517259E-2</v>
      </c>
      <c r="I65" s="133"/>
      <c r="J65" s="316"/>
      <c r="K65" s="317"/>
      <c r="L65" s="319"/>
      <c r="M65" s="354">
        <f>G65/1</f>
        <v>5849016.75</v>
      </c>
      <c r="N65" s="319"/>
    </row>
    <row r="66" spans="1:14" s="10" customFormat="1" ht="15.05" x14ac:dyDescent="0.3">
      <c r="A66" s="18">
        <v>6.9</v>
      </c>
      <c r="B66" s="370" t="str">
        <f>VLOOKUP(A66,PRESUPUESTO!$A$14:$G$84,2,)</f>
        <v>Guardaescoba ceramica h=7cm</v>
      </c>
      <c r="C66" s="370"/>
      <c r="D66" s="27" t="str">
        <f>VLOOKUP(A66,PRESUPUESTO!$A$14:$G$84,4,)</f>
        <v>ML</v>
      </c>
      <c r="E66" s="28">
        <f>VLOOKUP(A66,PRESUPUESTO!$A$14:$G$84,5,)</f>
        <v>179.72</v>
      </c>
      <c r="F66" s="29">
        <f>VLOOKUP(A66,PRESUPUESTO!$A$14:$G$84,6,)</f>
        <v>33834.807054000004</v>
      </c>
      <c r="G66" s="30">
        <f t="shared" si="5"/>
        <v>6080791.5199999996</v>
      </c>
      <c r="H66" s="130">
        <f t="shared" si="13"/>
        <v>1.7644875068681433E-2</v>
      </c>
      <c r="I66" s="133"/>
      <c r="J66" s="316"/>
      <c r="K66" s="318"/>
      <c r="L66" s="319"/>
      <c r="M66" s="354">
        <f>G66/1</f>
        <v>6080791.5199999996</v>
      </c>
      <c r="N66" s="319"/>
    </row>
    <row r="67" spans="1:14" ht="15.05" x14ac:dyDescent="0.3">
      <c r="A67" s="146">
        <v>7</v>
      </c>
      <c r="B67" s="376" t="str">
        <f>PRESUPUESTO!B72</f>
        <v>CARPINTERIA METALICA</v>
      </c>
      <c r="C67" s="377"/>
      <c r="D67" s="377"/>
      <c r="E67" s="377"/>
      <c r="F67" s="377"/>
      <c r="G67" s="378"/>
      <c r="H67" s="132"/>
      <c r="I67" s="132"/>
      <c r="J67" s="132"/>
      <c r="K67" s="313"/>
      <c r="L67" s="321"/>
      <c r="M67" s="313"/>
      <c r="N67" s="321"/>
    </row>
    <row r="68" spans="1:14" s="10" customFormat="1" ht="15.05" x14ac:dyDescent="0.3">
      <c r="A68" s="18">
        <v>7.1</v>
      </c>
      <c r="B68" s="370" t="str">
        <f>VLOOKUP(A68,PRESUPUESTO!$A$14:$G$84,2,)</f>
        <v>Puerta principal en lamina cold rolled cal 18 entamborada incluye cerradura (1.00X2.10)</v>
      </c>
      <c r="C68" s="370"/>
      <c r="D68" s="27" t="str">
        <f>VLOOKUP(A68,PRESUPUESTO!$A$14:$G$84,4,)</f>
        <v>UND</v>
      </c>
      <c r="E68" s="28">
        <f>VLOOKUP(A68,PRESUPUESTO!$A$14:$G$84,5,)</f>
        <v>4</v>
      </c>
      <c r="F68" s="29">
        <f>VLOOKUP(A68,PRESUPUESTO!$A$14:$G$84,6,)</f>
        <v>1219125</v>
      </c>
      <c r="G68" s="30">
        <f t="shared" si="5"/>
        <v>4876500</v>
      </c>
      <c r="H68" s="130">
        <f t="shared" ref="H68:H75" si="14">G68/$G$77</f>
        <v>1.4150334374960615E-2</v>
      </c>
      <c r="I68" s="133"/>
      <c r="J68" s="316"/>
      <c r="K68" s="317"/>
      <c r="L68" s="319"/>
      <c r="M68" s="317"/>
      <c r="N68" s="354">
        <f>G68/1</f>
        <v>4876500</v>
      </c>
    </row>
    <row r="69" spans="1:14" s="10" customFormat="1" ht="15.05" x14ac:dyDescent="0.3">
      <c r="A69" s="18">
        <v>7.2</v>
      </c>
      <c r="B69" s="370" t="str">
        <f>VLOOKUP(A69,PRESUPUESTO!$A$14:$G$84,2,)</f>
        <v>Puerta de baño en aluminio (1.00x2.10)</v>
      </c>
      <c r="C69" s="370"/>
      <c r="D69" s="27" t="str">
        <f>VLOOKUP(A69,PRESUPUESTO!$A$14:$G$84,4,)</f>
        <v>UND</v>
      </c>
      <c r="E69" s="28">
        <f>VLOOKUP(A69,PRESUPUESTO!$A$14:$G$84,5,)</f>
        <v>5</v>
      </c>
      <c r="F69" s="29">
        <f>VLOOKUP(A69,PRESUPUESTO!$A$14:$G$84,6,)</f>
        <v>739125</v>
      </c>
      <c r="G69" s="30">
        <f t="shared" si="5"/>
        <v>3695625</v>
      </c>
      <c r="H69" s="130">
        <f t="shared" si="14"/>
        <v>1.0723742330455003E-2</v>
      </c>
      <c r="I69" s="133"/>
      <c r="J69" s="316"/>
      <c r="K69" s="317"/>
      <c r="L69" s="319"/>
      <c r="M69" s="317"/>
      <c r="N69" s="354">
        <f t="shared" ref="N69:N75" si="15">G69/1</f>
        <v>3695625</v>
      </c>
    </row>
    <row r="70" spans="1:14" s="10" customFormat="1" ht="15.05" x14ac:dyDescent="0.3">
      <c r="A70" s="18">
        <v>7.3</v>
      </c>
      <c r="B70" s="370" t="str">
        <f>VLOOKUP(A70,PRESUPUESTO!$A$14:$G$84,2,)</f>
        <v>Puerta de baño en aluminio compuesto corrediza  (0.90x2.10)</v>
      </c>
      <c r="C70" s="370"/>
      <c r="D70" s="27" t="str">
        <f>VLOOKUP(A70,PRESUPUESTO!$A$14:$G$84,4,)</f>
        <v>UND</v>
      </c>
      <c r="E70" s="28">
        <f>VLOOKUP(A70,PRESUPUESTO!$A$14:$G$84,5,)</f>
        <v>2</v>
      </c>
      <c r="F70" s="29">
        <f>VLOOKUP(A70,PRESUPUESTO!$A$14:$G$84,6,)</f>
        <v>420406.25</v>
      </c>
      <c r="G70" s="30">
        <f t="shared" si="5"/>
        <v>840812.5</v>
      </c>
      <c r="H70" s="130">
        <f t="shared" si="14"/>
        <v>2.4398191370135491E-3</v>
      </c>
      <c r="I70" s="133"/>
      <c r="J70" s="316"/>
      <c r="K70" s="317"/>
      <c r="L70" s="319"/>
      <c r="M70" s="317"/>
      <c r="N70" s="354">
        <f t="shared" si="15"/>
        <v>840812.5</v>
      </c>
    </row>
    <row r="71" spans="1:14" s="10" customFormat="1" ht="15.05" x14ac:dyDescent="0.3">
      <c r="A71" s="18">
        <v>7.4</v>
      </c>
      <c r="B71" s="370" t="str">
        <f>VLOOKUP(A71,PRESUPUESTO!$A$14:$G$84,2,)</f>
        <v>Ventana en aluminio tipo persiana (0.90x0.60)</v>
      </c>
      <c r="C71" s="370"/>
      <c r="D71" s="27" t="str">
        <f>VLOOKUP(A71,PRESUPUESTO!$A$14:$G$84,4,)</f>
        <v>UND</v>
      </c>
      <c r="E71" s="28">
        <f>VLOOKUP(A71,PRESUPUESTO!$A$14:$G$84,5,)</f>
        <v>4</v>
      </c>
      <c r="F71" s="29">
        <f>VLOOKUP(A71,PRESUPUESTO!$A$14:$G$84,6,)</f>
        <v>625812.5</v>
      </c>
      <c r="G71" s="30">
        <f t="shared" si="5"/>
        <v>2503250</v>
      </c>
      <c r="H71" s="130">
        <f t="shared" si="14"/>
        <v>7.263780277682797E-3</v>
      </c>
      <c r="I71" s="133"/>
      <c r="J71" s="316"/>
      <c r="K71" s="317"/>
      <c r="L71" s="319"/>
      <c r="M71" s="317"/>
      <c r="N71" s="354">
        <f t="shared" si="15"/>
        <v>2503250</v>
      </c>
    </row>
    <row r="72" spans="1:14" s="10" customFormat="1" ht="15.05" x14ac:dyDescent="0.3">
      <c r="A72" s="18">
        <v>7.5</v>
      </c>
      <c r="B72" s="370" t="str">
        <f>VLOOKUP(A72,PRESUPUESTO!$A$14:$G$84,2,)</f>
        <v>Ventana en aluminio tipo persiana (1.20x0.50)</v>
      </c>
      <c r="C72" s="370"/>
      <c r="D72" s="27" t="str">
        <f>VLOOKUP(A72,PRESUPUESTO!$A$14:$G$84,4,)</f>
        <v>UND</v>
      </c>
      <c r="E72" s="28">
        <f>VLOOKUP(A72,PRESUPUESTO!$A$14:$G$84,5,)</f>
        <v>1</v>
      </c>
      <c r="F72" s="29">
        <f>VLOOKUP(A72,PRESUPUESTO!$A$14:$G$84,6,)</f>
        <v>376812.5</v>
      </c>
      <c r="G72" s="30">
        <f t="shared" si="5"/>
        <v>376812.5</v>
      </c>
      <c r="H72" s="130">
        <f t="shared" si="14"/>
        <v>1.093411846952701E-3</v>
      </c>
      <c r="I72" s="133"/>
      <c r="J72" s="316"/>
      <c r="K72" s="317"/>
      <c r="L72" s="319"/>
      <c r="M72" s="317"/>
      <c r="N72" s="354">
        <f t="shared" si="15"/>
        <v>376812.5</v>
      </c>
    </row>
    <row r="73" spans="1:14" s="10" customFormat="1" ht="15.05" x14ac:dyDescent="0.3">
      <c r="A73" s="18">
        <v>7.6</v>
      </c>
      <c r="B73" s="370" t="str">
        <f>VLOOKUP(A73,PRESUPUESTO!$A$14:$G$84,2,)</f>
        <v>Ventana en lamina Cold rolled (2.00x1.90) Corrediza incluye vidrio</v>
      </c>
      <c r="C73" s="370"/>
      <c r="D73" s="27" t="str">
        <f>VLOOKUP(A73,PRESUPUESTO!$A$14:$G$84,4,)</f>
        <v>UND</v>
      </c>
      <c r="E73" s="28">
        <f>VLOOKUP(A73,PRESUPUESTO!$A$14:$G$84,5,)</f>
        <v>4</v>
      </c>
      <c r="F73" s="29">
        <f>VLOOKUP(A73,PRESUPUESTO!$A$14:$G$84,6,)</f>
        <v>1709150</v>
      </c>
      <c r="G73" s="30">
        <f t="shared" si="5"/>
        <v>6836600</v>
      </c>
      <c r="H73" s="130">
        <f t="shared" si="14"/>
        <v>1.9838034653512918E-2</v>
      </c>
      <c r="I73" s="133"/>
      <c r="J73" s="316"/>
      <c r="K73" s="317"/>
      <c r="L73" s="319"/>
      <c r="M73" s="317"/>
      <c r="N73" s="354">
        <f t="shared" si="15"/>
        <v>6836600</v>
      </c>
    </row>
    <row r="74" spans="1:14" s="10" customFormat="1" ht="15.05" x14ac:dyDescent="0.3">
      <c r="A74" s="18">
        <v>7.7</v>
      </c>
      <c r="B74" s="370" t="str">
        <f>VLOOKUP(A74,PRESUPUESTO!$A$14:$G$84,2,)</f>
        <v>Suministro e instalación de pasamanos en acero inoxidable AISI 304 con postes anclados a losa</v>
      </c>
      <c r="C74" s="370"/>
      <c r="D74" s="27" t="str">
        <f>VLOOKUP(A74,PRESUPUESTO!$A$14:$G$84,4,)</f>
        <v>ML</v>
      </c>
      <c r="E74" s="28">
        <f>VLOOKUP(A74,PRESUPUESTO!$A$14:$G$84,5,)</f>
        <v>48.74</v>
      </c>
      <c r="F74" s="29">
        <f>VLOOKUP(A74,PRESUPUESTO!$A$14:$G$84,6,)</f>
        <v>800050</v>
      </c>
      <c r="G74" s="30">
        <f t="shared" si="5"/>
        <v>38994437</v>
      </c>
      <c r="H74" s="130">
        <f t="shared" si="14"/>
        <v>0.1131517117427122</v>
      </c>
      <c r="I74" s="133"/>
      <c r="J74" s="316"/>
      <c r="K74" s="317"/>
      <c r="L74" s="319"/>
      <c r="M74" s="317"/>
      <c r="N74" s="354">
        <f t="shared" si="15"/>
        <v>38994437</v>
      </c>
    </row>
    <row r="75" spans="1:14" s="10" customFormat="1" ht="15.05" x14ac:dyDescent="0.3">
      <c r="A75" s="18">
        <v>7.8</v>
      </c>
      <c r="B75" s="580" t="str">
        <f>VLOOKUP(A75,PRESUPUESTO!$A$14:$G$84,2,)</f>
        <v>Suministro e instalación de pasamanos en acero inoxidable AISI 304con anclaje lateral a muro</v>
      </c>
      <c r="C75" s="580"/>
      <c r="D75" s="27" t="str">
        <f>VLOOKUP(A75,PRESUPUESTO!$A$14:$G$84,4,)</f>
        <v>ML</v>
      </c>
      <c r="E75" s="28">
        <f>VLOOKUP(A75,PRESUPUESTO!$A$14:$G$84,5,)</f>
        <v>23.85</v>
      </c>
      <c r="F75" s="29">
        <f>VLOOKUP(A75,PRESUPUESTO!$A$14:$G$84,6,)</f>
        <v>401050</v>
      </c>
      <c r="G75" s="30">
        <f t="shared" si="5"/>
        <v>9565042.5</v>
      </c>
      <c r="H75" s="130">
        <f t="shared" si="14"/>
        <v>2.7755264982202238E-2</v>
      </c>
      <c r="I75" s="133"/>
      <c r="J75" s="316"/>
      <c r="K75" s="317"/>
      <c r="L75" s="319"/>
      <c r="M75" s="317"/>
      <c r="N75" s="354">
        <f t="shared" si="15"/>
        <v>9565042.5</v>
      </c>
    </row>
    <row r="76" spans="1:14" ht="15.75" customHeight="1" thickBot="1" x14ac:dyDescent="0.35">
      <c r="A76" s="600"/>
      <c r="B76" s="601"/>
      <c r="C76" s="601"/>
      <c r="D76" s="601"/>
      <c r="E76" s="601"/>
      <c r="F76" s="601"/>
      <c r="G76" s="601"/>
      <c r="H76" s="601"/>
      <c r="I76" s="601"/>
      <c r="J76" s="601"/>
      <c r="K76" s="601"/>
      <c r="L76" s="601"/>
      <c r="M76" s="602"/>
      <c r="N76" s="322"/>
    </row>
    <row r="77" spans="1:14" ht="14.4" customHeight="1" x14ac:dyDescent="0.3">
      <c r="A77" s="603" t="s">
        <v>94</v>
      </c>
      <c r="B77" s="604"/>
      <c r="C77" s="604"/>
      <c r="D77" s="604"/>
      <c r="E77" s="604"/>
      <c r="F77" s="604"/>
      <c r="G77" s="355">
        <f>SUM(G16:G76)</f>
        <v>344620831.62</v>
      </c>
      <c r="H77" s="356">
        <f>SUM(H16:H75)</f>
        <v>0.99999999999999989</v>
      </c>
      <c r="I77" s="357">
        <f>SUM(I14:I75)</f>
        <v>35088345.585000001</v>
      </c>
      <c r="J77" s="357">
        <f t="shared" ref="J77:N77" si="16">SUM(J14:J75)</f>
        <v>40768324.31499999</v>
      </c>
      <c r="K77" s="357">
        <f t="shared" si="16"/>
        <v>33073168.149999999</v>
      </c>
      <c r="L77" s="357">
        <f t="shared" si="16"/>
        <v>50998919.769999996</v>
      </c>
      <c r="M77" s="357">
        <f t="shared" si="16"/>
        <v>94420508.075000003</v>
      </c>
      <c r="N77" s="358">
        <f t="shared" si="16"/>
        <v>90271565.724999994</v>
      </c>
    </row>
    <row r="78" spans="1:14" x14ac:dyDescent="0.3">
      <c r="A78" s="605" t="s">
        <v>95</v>
      </c>
      <c r="B78" s="606"/>
      <c r="C78" s="606"/>
      <c r="D78" s="606"/>
      <c r="E78" s="606"/>
      <c r="F78" s="135">
        <v>0.28000000000000003</v>
      </c>
      <c r="G78" s="136">
        <f>ROUND((F78*G$77),2)</f>
        <v>96493832.849999994</v>
      </c>
      <c r="H78" s="137">
        <f>G78/G$77</f>
        <v>0.27999999998955372</v>
      </c>
      <c r="I78" s="138">
        <f>$F$78*I$77</f>
        <v>9824736.7638000008</v>
      </c>
      <c r="J78" s="138">
        <f t="shared" ref="J78:N78" si="17">$F$78*J$77</f>
        <v>11415130.808199998</v>
      </c>
      <c r="K78" s="138">
        <f t="shared" si="17"/>
        <v>9260487.0820000004</v>
      </c>
      <c r="L78" s="138">
        <f t="shared" si="17"/>
        <v>14279697.535600001</v>
      </c>
      <c r="M78" s="138">
        <f t="shared" si="17"/>
        <v>26437742.261000004</v>
      </c>
      <c r="N78" s="359">
        <f t="shared" si="17"/>
        <v>25276038.403000001</v>
      </c>
    </row>
    <row r="79" spans="1:14" x14ac:dyDescent="0.3">
      <c r="A79" s="605" t="s">
        <v>21</v>
      </c>
      <c r="B79" s="606"/>
      <c r="C79" s="606"/>
      <c r="D79" s="606"/>
      <c r="E79" s="606"/>
      <c r="F79" s="135">
        <v>0.01</v>
      </c>
      <c r="G79" s="136">
        <f>ROUND((F79*G$77),2)</f>
        <v>3446208.32</v>
      </c>
      <c r="H79" s="137">
        <f>G79/G$77</f>
        <v>1.000000001102661E-2</v>
      </c>
      <c r="I79" s="138">
        <f>$F$79*I$77</f>
        <v>350883.45585000003</v>
      </c>
      <c r="J79" s="138">
        <f t="shared" ref="J79:N79" si="18">$F$79*J$77</f>
        <v>407683.24314999994</v>
      </c>
      <c r="K79" s="138">
        <f t="shared" si="18"/>
        <v>330731.68150000001</v>
      </c>
      <c r="L79" s="138">
        <f t="shared" si="18"/>
        <v>509989.19769999996</v>
      </c>
      <c r="M79" s="138">
        <f t="shared" si="18"/>
        <v>944205.08075000008</v>
      </c>
      <c r="N79" s="359">
        <f t="shared" si="18"/>
        <v>902715.65724999993</v>
      </c>
    </row>
    <row r="80" spans="1:14" x14ac:dyDescent="0.3">
      <c r="A80" s="605" t="s">
        <v>22</v>
      </c>
      <c r="B80" s="606"/>
      <c r="C80" s="606"/>
      <c r="D80" s="606"/>
      <c r="E80" s="606"/>
      <c r="F80" s="135">
        <v>0.03</v>
      </c>
      <c r="G80" s="136">
        <f>ROUND((F80*G$77),2)</f>
        <v>10338624.949999999</v>
      </c>
      <c r="H80" s="137">
        <f>G80/G$77</f>
        <v>3.0000000004062433E-2</v>
      </c>
      <c r="I80" s="138">
        <f>$F$80*I$77</f>
        <v>1052650.3675500001</v>
      </c>
      <c r="J80" s="138">
        <f t="shared" ref="J80:N80" si="19">$F$80*J$77</f>
        <v>1223049.7294499998</v>
      </c>
      <c r="K80" s="138">
        <f t="shared" si="19"/>
        <v>992195.04449999996</v>
      </c>
      <c r="L80" s="138">
        <f t="shared" si="19"/>
        <v>1529967.5930999997</v>
      </c>
      <c r="M80" s="138">
        <f t="shared" si="19"/>
        <v>2832615.2422500001</v>
      </c>
      <c r="N80" s="359">
        <f t="shared" si="19"/>
        <v>2708146.9717499996</v>
      </c>
    </row>
    <row r="81" spans="1:21" ht="14.4" customHeight="1" x14ac:dyDescent="0.3">
      <c r="A81" s="595" t="s">
        <v>96</v>
      </c>
      <c r="B81" s="596"/>
      <c r="C81" s="596"/>
      <c r="D81" s="596"/>
      <c r="E81" s="596"/>
      <c r="F81" s="596"/>
      <c r="G81" s="139">
        <f>SUM(G78:G80)</f>
        <v>110278666.11999999</v>
      </c>
      <c r="H81" s="140">
        <f>SUM(H78:H80)</f>
        <v>0.32000000000464279</v>
      </c>
      <c r="I81" s="138">
        <f>SUM(I78:I80)</f>
        <v>11228270.587200001</v>
      </c>
      <c r="J81" s="138">
        <f t="shared" ref="J81:N81" si="20">SUM(J78:J80)</f>
        <v>13045863.780799998</v>
      </c>
      <c r="K81" s="138">
        <f t="shared" si="20"/>
        <v>10583413.808000002</v>
      </c>
      <c r="L81" s="138">
        <f t="shared" si="20"/>
        <v>16319654.326400001</v>
      </c>
      <c r="M81" s="138">
        <f t="shared" si="20"/>
        <v>30214562.584000003</v>
      </c>
      <c r="N81" s="359">
        <f t="shared" si="20"/>
        <v>28886901.031999998</v>
      </c>
    </row>
    <row r="82" spans="1:21" ht="15.05" customHeight="1" x14ac:dyDescent="0.3">
      <c r="A82" s="595" t="s">
        <v>24</v>
      </c>
      <c r="B82" s="596"/>
      <c r="C82" s="596"/>
      <c r="D82" s="596"/>
      <c r="E82" s="596"/>
      <c r="F82" s="596"/>
      <c r="G82" s="139">
        <f>G81+G77</f>
        <v>454899497.74000001</v>
      </c>
      <c r="H82" s="141">
        <f>G81/G77</f>
        <v>0.32000000000464274</v>
      </c>
      <c r="I82" s="134">
        <f>I77+I81</f>
        <v>46316616.172200002</v>
      </c>
      <c r="J82" s="134">
        <f t="shared" ref="J82:N82" si="21">J77+J81</f>
        <v>53814188.09579999</v>
      </c>
      <c r="K82" s="134">
        <f t="shared" si="21"/>
        <v>43656581.958000004</v>
      </c>
      <c r="L82" s="134">
        <f t="shared" si="21"/>
        <v>67318574.096399993</v>
      </c>
      <c r="M82" s="134">
        <f t="shared" si="21"/>
        <v>124635070.65900001</v>
      </c>
      <c r="N82" s="360">
        <f t="shared" si="21"/>
        <v>119158466.757</v>
      </c>
    </row>
    <row r="83" spans="1:21" ht="15.05" thickBot="1" x14ac:dyDescent="0.35">
      <c r="A83" s="597" t="s">
        <v>97</v>
      </c>
      <c r="B83" s="598"/>
      <c r="C83" s="598"/>
      <c r="D83" s="598"/>
      <c r="E83" s="598"/>
      <c r="F83" s="599"/>
      <c r="G83" s="259">
        <f>N83</f>
        <v>454899497.73839998</v>
      </c>
      <c r="H83" s="260"/>
      <c r="I83" s="259">
        <f>I82</f>
        <v>46316616.172200002</v>
      </c>
      <c r="J83" s="259">
        <f>I83+J82</f>
        <v>100130804.26799999</v>
      </c>
      <c r="K83" s="259">
        <f t="shared" ref="K83:N83" si="22">J83+K82</f>
        <v>143787386.22600001</v>
      </c>
      <c r="L83" s="259">
        <f t="shared" si="22"/>
        <v>211105960.3224</v>
      </c>
      <c r="M83" s="259">
        <f t="shared" si="22"/>
        <v>335741030.98140001</v>
      </c>
      <c r="N83" s="361">
        <f t="shared" si="22"/>
        <v>454899497.73839998</v>
      </c>
    </row>
    <row r="84" spans="1:21" x14ac:dyDescent="0.3">
      <c r="A84" s="142"/>
      <c r="B84" s="142"/>
      <c r="C84" s="142"/>
      <c r="D84" s="142"/>
      <c r="E84" s="142"/>
      <c r="F84" s="142"/>
      <c r="G84" s="142"/>
      <c r="H84" s="142"/>
    </row>
    <row r="85" spans="1:21" x14ac:dyDescent="0.3">
      <c r="A85" s="142"/>
      <c r="B85" s="142"/>
      <c r="C85" s="142"/>
      <c r="D85" s="142"/>
      <c r="E85" s="142"/>
      <c r="F85" s="142"/>
      <c r="G85" s="142"/>
      <c r="H85" s="142"/>
    </row>
    <row r="86" spans="1:21" x14ac:dyDescent="0.3">
      <c r="A86" s="142"/>
      <c r="B86" s="142"/>
      <c r="C86" s="142"/>
      <c r="D86" s="142"/>
      <c r="E86" s="142"/>
      <c r="F86" s="142"/>
      <c r="G86" s="142"/>
      <c r="H86" s="142"/>
    </row>
    <row r="87" spans="1:21" x14ac:dyDescent="0.3">
      <c r="A87" s="142"/>
      <c r="B87" s="142"/>
      <c r="C87" s="142"/>
      <c r="D87" s="142"/>
      <c r="E87" s="142"/>
      <c r="F87" s="142"/>
      <c r="G87" s="142"/>
      <c r="H87" s="142"/>
    </row>
    <row r="88" spans="1:21" x14ac:dyDescent="0.3">
      <c r="A88" s="142"/>
      <c r="B88" s="142"/>
      <c r="C88" s="142"/>
      <c r="D88" s="142"/>
      <c r="E88" s="142" t="s">
        <v>98</v>
      </c>
      <c r="F88" s="142"/>
      <c r="G88" s="142"/>
      <c r="H88" s="142"/>
    </row>
    <row r="89" spans="1:21" ht="15.05" x14ac:dyDescent="0.3">
      <c r="B89" s="45" t="s">
        <v>25</v>
      </c>
      <c r="C89" s="45"/>
      <c r="D89" s="45"/>
      <c r="E89" s="49" t="s">
        <v>27</v>
      </c>
      <c r="F89" s="50"/>
      <c r="G89" s="50"/>
      <c r="H89" s="34"/>
      <c r="I89" s="34"/>
      <c r="J89" s="34"/>
      <c r="K89" s="23"/>
      <c r="M89" s="23"/>
      <c r="U89" s="4"/>
    </row>
    <row r="90" spans="1:21" ht="15.05" x14ac:dyDescent="0.3">
      <c r="B90" s="49" t="s">
        <v>26</v>
      </c>
      <c r="C90" s="50"/>
      <c r="D90" s="51"/>
      <c r="E90" s="50" t="s">
        <v>29</v>
      </c>
      <c r="F90" s="50"/>
      <c r="G90" s="50"/>
      <c r="H90" s="34"/>
      <c r="I90" s="34"/>
      <c r="J90" s="34"/>
      <c r="K90" s="23"/>
      <c r="M90" s="23"/>
      <c r="U90" s="4"/>
    </row>
    <row r="91" spans="1:21" ht="15.05" x14ac:dyDescent="0.3">
      <c r="A91" s="51"/>
      <c r="B91" s="50" t="s">
        <v>28</v>
      </c>
      <c r="C91" s="51"/>
      <c r="D91" s="51"/>
      <c r="E91" s="50" t="s">
        <v>30</v>
      </c>
      <c r="F91" s="50"/>
      <c r="G91" s="50"/>
      <c r="H91" s="34"/>
      <c r="I91" s="34"/>
      <c r="J91" s="34"/>
      <c r="K91" s="23"/>
      <c r="M91" s="23"/>
      <c r="U91" s="4"/>
    </row>
  </sheetData>
  <mergeCells count="88">
    <mergeCell ref="M7:N7"/>
    <mergeCell ref="K7:L7"/>
    <mergeCell ref="M1:N6"/>
    <mergeCell ref="L2:L3"/>
    <mergeCell ref="J1:K1"/>
    <mergeCell ref="J2:K3"/>
    <mergeCell ref="J4:K4"/>
    <mergeCell ref="J5:K6"/>
    <mergeCell ref="C1:I2"/>
    <mergeCell ref="C3:I3"/>
    <mergeCell ref="C4:I4"/>
    <mergeCell ref="C5:I6"/>
    <mergeCell ref="A1:B6"/>
    <mergeCell ref="A81:F81"/>
    <mergeCell ref="A82:F82"/>
    <mergeCell ref="A83:F83"/>
    <mergeCell ref="A76:M76"/>
    <mergeCell ref="A77:F77"/>
    <mergeCell ref="A78:E78"/>
    <mergeCell ref="A80:E80"/>
    <mergeCell ref="A79:E79"/>
    <mergeCell ref="I12:L12"/>
    <mergeCell ref="M12:N12"/>
    <mergeCell ref="B27:G27"/>
    <mergeCell ref="B28:C28"/>
    <mergeCell ref="B33:C33"/>
    <mergeCell ref="B17:C17"/>
    <mergeCell ref="B18:C18"/>
    <mergeCell ref="B32:C32"/>
    <mergeCell ref="B29:C29"/>
    <mergeCell ref="B30:C30"/>
    <mergeCell ref="B31:C31"/>
    <mergeCell ref="B24:G24"/>
    <mergeCell ref="B25:C25"/>
    <mergeCell ref="B26:C26"/>
    <mergeCell ref="B22:C22"/>
    <mergeCell ref="B23:C23"/>
    <mergeCell ref="B19:C19"/>
    <mergeCell ref="B21:C21"/>
    <mergeCell ref="B20:C20"/>
    <mergeCell ref="B13:C13"/>
    <mergeCell ref="B14:C14"/>
    <mergeCell ref="B16:C16"/>
    <mergeCell ref="B15:G15"/>
    <mergeCell ref="B39:C39"/>
    <mergeCell ref="B40:C40"/>
    <mergeCell ref="B41:C41"/>
    <mergeCell ref="B42:C42"/>
    <mergeCell ref="B43:C43"/>
    <mergeCell ref="B44:C44"/>
    <mergeCell ref="B45:C45"/>
    <mergeCell ref="A8:N9"/>
    <mergeCell ref="A11:N11"/>
    <mergeCell ref="B53:G53"/>
    <mergeCell ref="B34:G34"/>
    <mergeCell ref="B35:C35"/>
    <mergeCell ref="B50:C50"/>
    <mergeCell ref="B51:C51"/>
    <mergeCell ref="B36:C36"/>
    <mergeCell ref="B46:C46"/>
    <mergeCell ref="B47:C47"/>
    <mergeCell ref="B48:C48"/>
    <mergeCell ref="B49:C49"/>
    <mergeCell ref="B37:C37"/>
    <mergeCell ref="B38:C38"/>
    <mergeCell ref="B72:C72"/>
    <mergeCell ref="B74:C74"/>
    <mergeCell ref="B69:C69"/>
    <mergeCell ref="B75:C75"/>
    <mergeCell ref="B54:C54"/>
    <mergeCell ref="B73:C73"/>
    <mergeCell ref="B57:G57"/>
    <mergeCell ref="B55:C55"/>
    <mergeCell ref="B67:G67"/>
    <mergeCell ref="B58:C58"/>
    <mergeCell ref="B59:C59"/>
    <mergeCell ref="B60:C60"/>
    <mergeCell ref="B61:C61"/>
    <mergeCell ref="B62:C62"/>
    <mergeCell ref="B63:C63"/>
    <mergeCell ref="B64:C64"/>
    <mergeCell ref="B56:C56"/>
    <mergeCell ref="B52:C52"/>
    <mergeCell ref="B66:C66"/>
    <mergeCell ref="B70:C70"/>
    <mergeCell ref="B71:C71"/>
    <mergeCell ref="B65:C65"/>
    <mergeCell ref="B68:C68"/>
  </mergeCells>
  <phoneticPr fontId="21" type="noConversion"/>
  <pageMargins left="1.45" right="0.7" top="0.75" bottom="0.75" header="0.3" footer="0.3"/>
  <pageSetup scale="52" fitToHeight="0" orientation="landscape" horizontalDpi="360" verticalDpi="360" r:id="rId1"/>
  <rowBreaks count="1" manualBreakCount="1">
    <brk id="52" max="1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7AF08-6401-4D95-9A73-FB58828E78B7}">
  <sheetPr>
    <pageSetUpPr fitToPage="1"/>
  </sheetPr>
  <dimension ref="A1:U90"/>
  <sheetViews>
    <sheetView view="pageBreakPreview" topLeftCell="A46" zoomScale="90" zoomScaleNormal="80" zoomScaleSheetLayoutView="90" workbookViewId="0">
      <selection activeCell="J94" sqref="J94"/>
    </sheetView>
  </sheetViews>
  <sheetFormatPr baseColWidth="10" defaultColWidth="11.44140625" defaultRowHeight="14.4" x14ac:dyDescent="0.3"/>
  <cols>
    <col min="1" max="1" width="7.33203125" style="3" customWidth="1"/>
    <col min="2" max="2" width="15.6640625" style="3" customWidth="1"/>
    <col min="3" max="3" width="54.109375" style="3" customWidth="1"/>
    <col min="4" max="4" width="7" style="3" customWidth="1"/>
    <col min="5" max="5" width="9" style="3" customWidth="1"/>
    <col min="6" max="6" width="13.6640625" style="3" customWidth="1"/>
    <col min="7" max="7" width="16.5546875" style="3" customWidth="1"/>
    <col min="8" max="8" width="7.44140625" style="3" customWidth="1"/>
    <col min="9" max="11" width="13.88671875" style="3" bestFit="1" customWidth="1"/>
    <col min="12" max="12" width="15.109375" style="3" bestFit="1" customWidth="1"/>
    <col min="13" max="13" width="13.88671875" style="3" bestFit="1" customWidth="1"/>
    <col min="14" max="14" width="15.109375" style="3" bestFit="1" customWidth="1"/>
    <col min="15" max="15" width="13.44140625" style="3" bestFit="1" customWidth="1"/>
    <col min="16" max="16384" width="11.44140625" style="3"/>
  </cols>
  <sheetData>
    <row r="1" spans="1:14" ht="15.05" customHeight="1" x14ac:dyDescent="0.3">
      <c r="A1" s="379"/>
      <c r="B1" s="379"/>
      <c r="C1" s="607" t="s">
        <v>2</v>
      </c>
      <c r="D1" s="607"/>
      <c r="E1" s="607"/>
      <c r="F1" s="607"/>
      <c r="G1" s="607"/>
      <c r="H1" s="607"/>
      <c r="I1" s="607"/>
      <c r="J1" s="395" t="s">
        <v>3</v>
      </c>
      <c r="K1" s="395"/>
      <c r="L1" s="1">
        <v>103</v>
      </c>
      <c r="M1" s="395"/>
      <c r="N1" s="395"/>
    </row>
    <row r="2" spans="1:14" ht="15.05" customHeight="1" x14ac:dyDescent="0.3">
      <c r="A2" s="379"/>
      <c r="B2" s="379"/>
      <c r="C2" s="607"/>
      <c r="D2" s="607"/>
      <c r="E2" s="607"/>
      <c r="F2" s="607"/>
      <c r="G2" s="607"/>
      <c r="H2" s="607"/>
      <c r="I2" s="607"/>
      <c r="J2" s="404" t="s">
        <v>4</v>
      </c>
      <c r="K2" s="404"/>
      <c r="L2" s="494">
        <v>51</v>
      </c>
      <c r="M2" s="395"/>
      <c r="N2" s="395"/>
    </row>
    <row r="3" spans="1:14" ht="15.05" customHeight="1" x14ac:dyDescent="0.3">
      <c r="A3" s="379"/>
      <c r="B3" s="379"/>
      <c r="C3" s="503" t="s">
        <v>5</v>
      </c>
      <c r="D3" s="503"/>
      <c r="E3" s="503"/>
      <c r="F3" s="503"/>
      <c r="G3" s="503"/>
      <c r="H3" s="503"/>
      <c r="I3" s="503"/>
      <c r="J3" s="404"/>
      <c r="K3" s="404"/>
      <c r="L3" s="494"/>
      <c r="M3" s="395"/>
      <c r="N3" s="395"/>
    </row>
    <row r="4" spans="1:14" ht="15.05" customHeight="1" x14ac:dyDescent="0.3">
      <c r="A4" s="379"/>
      <c r="B4" s="379"/>
      <c r="C4" s="608" t="s">
        <v>6</v>
      </c>
      <c r="D4" s="608"/>
      <c r="E4" s="608"/>
      <c r="F4" s="608"/>
      <c r="G4" s="608"/>
      <c r="H4" s="608"/>
      <c r="I4" s="608"/>
      <c r="J4" s="404" t="s">
        <v>7</v>
      </c>
      <c r="K4" s="404"/>
      <c r="L4" s="7">
        <v>1</v>
      </c>
      <c r="M4" s="395"/>
      <c r="N4" s="395"/>
    </row>
    <row r="5" spans="1:14" ht="16.55" customHeight="1" x14ac:dyDescent="0.3">
      <c r="A5" s="379"/>
      <c r="B5" s="379"/>
      <c r="C5" s="404" t="s">
        <v>8</v>
      </c>
      <c r="D5" s="404"/>
      <c r="E5" s="404"/>
      <c r="F5" s="404"/>
      <c r="G5" s="404"/>
      <c r="H5" s="404"/>
      <c r="I5" s="404"/>
      <c r="J5" s="404" t="s">
        <v>9</v>
      </c>
      <c r="K5" s="404"/>
      <c r="L5" s="5" t="s">
        <v>10</v>
      </c>
      <c r="M5" s="395"/>
      <c r="N5" s="395"/>
    </row>
    <row r="6" spans="1:14" ht="15.75" customHeight="1" x14ac:dyDescent="0.3">
      <c r="A6" s="379"/>
      <c r="B6" s="379"/>
      <c r="C6" s="404"/>
      <c r="D6" s="404"/>
      <c r="E6" s="404"/>
      <c r="F6" s="404"/>
      <c r="G6" s="404"/>
      <c r="H6" s="404"/>
      <c r="I6" s="404"/>
      <c r="J6" s="404"/>
      <c r="K6" s="404"/>
      <c r="L6" s="8">
        <v>44216</v>
      </c>
      <c r="M6" s="395"/>
      <c r="N6" s="395"/>
    </row>
    <row r="7" spans="1:14" ht="15.05" thickBot="1" x14ac:dyDescent="0.35">
      <c r="A7" s="144"/>
      <c r="B7" s="122"/>
      <c r="C7" s="122"/>
      <c r="D7" s="122"/>
      <c r="E7" s="122"/>
      <c r="F7" s="122"/>
      <c r="G7" s="122"/>
      <c r="H7" s="122"/>
      <c r="I7" s="122"/>
      <c r="J7" s="122"/>
      <c r="K7" s="609"/>
      <c r="L7" s="609"/>
      <c r="M7" s="609"/>
      <c r="N7" s="609"/>
    </row>
    <row r="8" spans="1:14" ht="13.75" customHeight="1" x14ac:dyDescent="0.3">
      <c r="A8" s="581" t="str">
        <f>PRESUPUESTO!A8</f>
        <v>AMPLIACIÓN DE MÓDULOS HABITACIONALES Y ÁREAS COMPLEMENTARIAS PARA CENTRO DE BIENESTAR EL BUEN SAMARITANO Y CENTRO DÍA DE PUERTO COLÓN DEL MUNICIPIO DE SAN MIGUEL, PUTUMAYO.</v>
      </c>
      <c r="B8" s="582"/>
      <c r="C8" s="582"/>
      <c r="D8" s="582"/>
      <c r="E8" s="582"/>
      <c r="F8" s="582"/>
      <c r="G8" s="582"/>
      <c r="H8" s="582"/>
      <c r="I8" s="582"/>
      <c r="J8" s="582"/>
      <c r="K8" s="582"/>
      <c r="L8" s="582"/>
      <c r="M8" s="582"/>
      <c r="N8" s="583"/>
    </row>
    <row r="9" spans="1:14" ht="16.399999999999999" customHeight="1" thickBot="1" x14ac:dyDescent="0.35">
      <c r="A9" s="584"/>
      <c r="B9" s="585"/>
      <c r="C9" s="585"/>
      <c r="D9" s="585"/>
      <c r="E9" s="585"/>
      <c r="F9" s="585"/>
      <c r="G9" s="585"/>
      <c r="H9" s="585"/>
      <c r="I9" s="585"/>
      <c r="J9" s="585"/>
      <c r="K9" s="585"/>
      <c r="L9" s="585"/>
      <c r="M9" s="585"/>
      <c r="N9" s="586"/>
    </row>
    <row r="10" spans="1:14" ht="15.05" thickBot="1" x14ac:dyDescent="0.35"/>
    <row r="11" spans="1:14" ht="15.75" customHeight="1" thickBot="1" x14ac:dyDescent="0.35">
      <c r="A11" s="587" t="s">
        <v>189</v>
      </c>
      <c r="B11" s="588"/>
      <c r="C11" s="588"/>
      <c r="D11" s="588"/>
      <c r="E11" s="588"/>
      <c r="F11" s="588"/>
      <c r="G11" s="588"/>
      <c r="H11" s="588"/>
      <c r="I11" s="588"/>
      <c r="J11" s="588"/>
      <c r="K11" s="588"/>
      <c r="L11" s="588"/>
      <c r="M11" s="588"/>
      <c r="N11" s="589"/>
    </row>
    <row r="12" spans="1:14" ht="15.75" customHeight="1" thickBot="1" x14ac:dyDescent="0.35">
      <c r="A12" s="323"/>
      <c r="B12" s="324"/>
      <c r="C12" s="324"/>
      <c r="D12" s="324"/>
      <c r="E12" s="324"/>
      <c r="F12" s="324"/>
      <c r="G12" s="324"/>
      <c r="H12" s="324"/>
      <c r="I12" s="592" t="s">
        <v>87</v>
      </c>
      <c r="J12" s="593"/>
      <c r="K12" s="593"/>
      <c r="L12" s="594"/>
      <c r="M12" s="592" t="s">
        <v>625</v>
      </c>
      <c r="N12" s="594"/>
    </row>
    <row r="13" spans="1:14" x14ac:dyDescent="0.3">
      <c r="A13" s="257"/>
      <c r="B13" s="590"/>
      <c r="C13" s="590"/>
      <c r="D13" s="123"/>
      <c r="E13" s="123"/>
      <c r="F13" s="123"/>
      <c r="G13" s="123"/>
      <c r="H13" s="124"/>
      <c r="I13" s="125" t="s">
        <v>88</v>
      </c>
      <c r="J13" s="125" t="s">
        <v>89</v>
      </c>
      <c r="K13" s="125" t="s">
        <v>90</v>
      </c>
      <c r="L13" s="125" t="s">
        <v>442</v>
      </c>
      <c r="M13" s="125" t="s">
        <v>623</v>
      </c>
      <c r="N13" s="362" t="s">
        <v>624</v>
      </c>
    </row>
    <row r="14" spans="1:14" x14ac:dyDescent="0.3">
      <c r="A14" s="145" t="s">
        <v>12</v>
      </c>
      <c r="B14" s="591" t="s">
        <v>91</v>
      </c>
      <c r="C14" s="591"/>
      <c r="D14" s="126" t="s">
        <v>14</v>
      </c>
      <c r="E14" s="126" t="s">
        <v>15</v>
      </c>
      <c r="F14" s="126" t="s">
        <v>92</v>
      </c>
      <c r="G14" s="126" t="s">
        <v>93</v>
      </c>
      <c r="H14" s="127" t="s">
        <v>63</v>
      </c>
      <c r="I14" s="124"/>
      <c r="J14" s="124"/>
      <c r="K14" s="310"/>
      <c r="L14" s="314"/>
      <c r="M14" s="310"/>
      <c r="N14" s="363"/>
    </row>
    <row r="15" spans="1:14" ht="16.7" customHeight="1" x14ac:dyDescent="0.3">
      <c r="A15" s="146">
        <v>1</v>
      </c>
      <c r="B15" s="376" t="str">
        <f>PRESUPUESTO!B14</f>
        <v>PRELIMINARES</v>
      </c>
      <c r="C15" s="377"/>
      <c r="D15" s="377"/>
      <c r="E15" s="377"/>
      <c r="F15" s="377"/>
      <c r="G15" s="378"/>
      <c r="H15" s="128"/>
      <c r="I15" s="129"/>
      <c r="J15" s="129"/>
      <c r="K15" s="311"/>
      <c r="L15" s="129"/>
      <c r="M15" s="311"/>
      <c r="N15" s="258"/>
    </row>
    <row r="16" spans="1:14" ht="15.75" customHeight="1" x14ac:dyDescent="0.3">
      <c r="A16" s="147">
        <v>1.1000000000000001</v>
      </c>
      <c r="B16" s="370" t="str">
        <f>VLOOKUP(A16,PRESUPUESTO!$A$14:$G$84,2,)</f>
        <v xml:space="preserve">localizacion y replanteo </v>
      </c>
      <c r="C16" s="370"/>
      <c r="D16" s="27" t="str">
        <f>VLOOKUP(A16,PRESUPUESTO!$A$14:$G$84,4,)</f>
        <v>M2</v>
      </c>
      <c r="E16" s="28">
        <f>VLOOKUP(A16,PRESUPUESTO!$A$14:$G$84,5,)</f>
        <v>181.654</v>
      </c>
      <c r="F16" s="29">
        <f>VLOOKUP(A16,PRESUPUESTO!$A$14:$G$84,6,)</f>
        <v>9225.8799999999992</v>
      </c>
      <c r="G16" s="30">
        <f t="shared" ref="G16:G23" si="0">+ROUND(E16*F16,2)</f>
        <v>1675918.01</v>
      </c>
      <c r="H16" s="130">
        <f t="shared" ref="H16:H23" si="1">G16/$G$77</f>
        <v>4.863078073724718E-3</v>
      </c>
      <c r="I16" s="354"/>
      <c r="J16" s="131"/>
      <c r="K16" s="312"/>
      <c r="L16" s="315"/>
      <c r="M16" s="312"/>
      <c r="N16" s="364"/>
    </row>
    <row r="17" spans="1:14" ht="27.85" customHeight="1" x14ac:dyDescent="0.3">
      <c r="A17" s="147">
        <v>1.2</v>
      </c>
      <c r="B17" s="580" t="str">
        <f>VLOOKUP(A17,PRESUPUESTO!$A$14:$G$84,2,)</f>
        <v>Desmonte de pasamanos metálico auto portante con anclaje a piso existente y anclaje lateral a muro existente</v>
      </c>
      <c r="C17" s="580"/>
      <c r="D17" s="27" t="str">
        <f>VLOOKUP(A17,PRESUPUESTO!$A$14:$G$84,4,)</f>
        <v>ML</v>
      </c>
      <c r="E17" s="28">
        <f>VLOOKUP(A17,PRESUPUESTO!$A$14:$G$84,5,)</f>
        <v>52.849999999999994</v>
      </c>
      <c r="F17" s="29">
        <f>VLOOKUP(A17,PRESUPUESTO!$A$14:$G$84,6,)</f>
        <v>15300</v>
      </c>
      <c r="G17" s="30">
        <f t="shared" si="0"/>
        <v>808605</v>
      </c>
      <c r="H17" s="130">
        <f t="shared" si="1"/>
        <v>2.3463613508182156E-3</v>
      </c>
      <c r="I17" s="354"/>
      <c r="J17" s="131"/>
      <c r="K17" s="312"/>
      <c r="L17" s="315"/>
      <c r="M17" s="312"/>
      <c r="N17" s="364"/>
    </row>
    <row r="18" spans="1:14" ht="15.75" customHeight="1" x14ac:dyDescent="0.3">
      <c r="A18" s="147">
        <f>PRESUPUESTO!A17</f>
        <v>1.3</v>
      </c>
      <c r="B18" s="370" t="str">
        <f>VLOOKUP(A18,PRESUPUESTO!$A$14:$G$84,2,)</f>
        <v>Desmonte de cabinas metálicas existentes</v>
      </c>
      <c r="C18" s="370"/>
      <c r="D18" s="27" t="str">
        <f>VLOOKUP(A18,PRESUPUESTO!$A$14:$G$84,4,)</f>
        <v>UND</v>
      </c>
      <c r="E18" s="28">
        <f>VLOOKUP(A18,PRESUPUESTO!$A$14:$G$84,5,)</f>
        <v>4</v>
      </c>
      <c r="F18" s="29">
        <f>VLOOKUP(A18,PRESUPUESTO!$A$14:$G$84,6,)</f>
        <v>12456.25</v>
      </c>
      <c r="G18" s="30">
        <f t="shared" si="0"/>
        <v>49825</v>
      </c>
      <c r="H18" s="130">
        <f t="shared" si="1"/>
        <v>1.4457918798983137E-4</v>
      </c>
      <c r="I18" s="354"/>
      <c r="J18" s="131"/>
      <c r="K18" s="312"/>
      <c r="L18" s="315"/>
      <c r="M18" s="312"/>
      <c r="N18" s="364"/>
    </row>
    <row r="19" spans="1:14" ht="15.75" customHeight="1" x14ac:dyDescent="0.3">
      <c r="A19" s="147">
        <v>1.4</v>
      </c>
      <c r="B19" s="370" t="str">
        <f>VLOOKUP(A19,PRESUPUESTO!$A$14:$G$84,2,)</f>
        <v>Desmonte de unidades sanitarias y lavamanos existentes</v>
      </c>
      <c r="C19" s="370"/>
      <c r="D19" s="27" t="str">
        <f>VLOOKUP(A19,PRESUPUESTO!$A$14:$G$84,4,)</f>
        <v>UND</v>
      </c>
      <c r="E19" s="28">
        <f>VLOOKUP(A19,PRESUPUESTO!$A$14:$G$84,5,)</f>
        <v>7</v>
      </c>
      <c r="F19" s="29">
        <f>VLOOKUP(A19,PRESUPUESTO!$A$14:$G$84,6,)</f>
        <v>25025</v>
      </c>
      <c r="G19" s="30">
        <f t="shared" si="0"/>
        <v>175175</v>
      </c>
      <c r="H19" s="130">
        <f t="shared" si="1"/>
        <v>5.0831227809570913E-4</v>
      </c>
      <c r="I19" s="354"/>
      <c r="J19" s="131"/>
      <c r="K19" s="312"/>
      <c r="L19" s="315"/>
      <c r="M19" s="312"/>
      <c r="N19" s="364"/>
    </row>
    <row r="20" spans="1:14" ht="15.75" customHeight="1" x14ac:dyDescent="0.3">
      <c r="A20" s="147">
        <v>1.5</v>
      </c>
      <c r="B20" s="370" t="str">
        <f>VLOOKUP(A20,PRESUPUESTO!$A$14:$G$84,2,)</f>
        <v>Demolición de enchape de piso existente</v>
      </c>
      <c r="C20" s="370"/>
      <c r="D20" s="27" t="str">
        <f>VLOOKUP(A20,PRESUPUESTO!$A$14:$G$84,4,)</f>
        <v>M2</v>
      </c>
      <c r="E20" s="28">
        <f>VLOOKUP(A20,PRESUPUESTO!$A$14:$G$84,5,)</f>
        <v>19.262499999999999</v>
      </c>
      <c r="F20" s="29">
        <f>VLOOKUP(A20,PRESUPUESTO!$A$14:$G$84,6,)</f>
        <v>25800</v>
      </c>
      <c r="G20" s="30">
        <f t="shared" si="0"/>
        <v>496972.5</v>
      </c>
      <c r="H20" s="130">
        <f t="shared" si="1"/>
        <v>1.4420849072408724E-3</v>
      </c>
      <c r="I20" s="354"/>
      <c r="J20" s="131"/>
      <c r="K20" s="312"/>
      <c r="L20" s="315"/>
      <c r="M20" s="312"/>
      <c r="N20" s="364"/>
    </row>
    <row r="21" spans="1:14" ht="15.75" customHeight="1" x14ac:dyDescent="0.3">
      <c r="A21" s="147">
        <f>PRESUPUESTO!A20</f>
        <v>1.6</v>
      </c>
      <c r="B21" s="370" t="str">
        <f>VLOOKUP(A21,PRESUPUESTO!$A$14:$G$84,2,)</f>
        <v>Demolicion de enchape de muro existente</v>
      </c>
      <c r="C21" s="370"/>
      <c r="D21" s="27" t="str">
        <f>VLOOKUP(A21,PRESUPUESTO!$A$14:$G$84,4,)</f>
        <v>M2</v>
      </c>
      <c r="E21" s="28">
        <f>VLOOKUP(A21,PRESUPUESTO!$A$14:$G$84,5,)</f>
        <v>25.799999999999997</v>
      </c>
      <c r="F21" s="29">
        <f>VLOOKUP(A21,PRESUPUESTO!$A$14:$G$84,6,)</f>
        <v>24300</v>
      </c>
      <c r="G21" s="30">
        <f t="shared" si="0"/>
        <v>626940</v>
      </c>
      <c r="H21" s="130">
        <f t="shared" si="1"/>
        <v>1.8192167811007501E-3</v>
      </c>
      <c r="I21" s="354"/>
      <c r="J21" s="131"/>
      <c r="K21" s="312"/>
      <c r="L21" s="315"/>
      <c r="M21" s="312"/>
      <c r="N21" s="364"/>
    </row>
    <row r="22" spans="1:14" ht="15.75" customHeight="1" x14ac:dyDescent="0.3">
      <c r="A22" s="147">
        <v>1.7</v>
      </c>
      <c r="B22" s="370" t="str">
        <f>VLOOKUP(A22,PRESUPUESTO!$A$14:$G$84,2,)</f>
        <v>Demolición manual de muro de baño</v>
      </c>
      <c r="C22" s="370"/>
      <c r="D22" s="27" t="str">
        <f>VLOOKUP(A22,PRESUPUESTO!$A$14:$G$84,4,)</f>
        <v>M2</v>
      </c>
      <c r="E22" s="28">
        <f>VLOOKUP(A22,PRESUPUESTO!$A$14:$G$84,5,)</f>
        <v>2.7</v>
      </c>
      <c r="F22" s="29">
        <f>VLOOKUP(A22,PRESUPUESTO!$A$14:$G$84,6,)</f>
        <v>38300</v>
      </c>
      <c r="G22" s="30">
        <f t="shared" si="0"/>
        <v>103410</v>
      </c>
      <c r="H22" s="130">
        <f t="shared" si="1"/>
        <v>3.0006891781291444E-4</v>
      </c>
      <c r="I22" s="354"/>
      <c r="J22" s="131"/>
      <c r="K22" s="312"/>
      <c r="L22" s="315"/>
      <c r="M22" s="312"/>
      <c r="N22" s="364"/>
    </row>
    <row r="23" spans="1:14" ht="15.75" customHeight="1" x14ac:dyDescent="0.3">
      <c r="A23" s="147">
        <v>1.8</v>
      </c>
      <c r="B23" s="370" t="str">
        <f>VLOOKUP(A23,PRESUPUESTO!$A$14:$G$84,2,)</f>
        <v>Retiro y disposicion de material sobrante</v>
      </c>
      <c r="C23" s="370"/>
      <c r="D23" s="27" t="str">
        <f>VLOOKUP(A23,PRESUPUESTO!$A$14:$G$84,4,)</f>
        <v>M3</v>
      </c>
      <c r="E23" s="28">
        <f>VLOOKUP(A23,PRESUPUESTO!$A$14:$G$84,5,)</f>
        <v>46.952500000000001</v>
      </c>
      <c r="F23" s="29">
        <f>VLOOKUP(A23,PRESUPUESTO!$A$14:$G$84,6,)</f>
        <v>34383.339999999997</v>
      </c>
      <c r="G23" s="30">
        <f t="shared" si="0"/>
        <v>1614383.77</v>
      </c>
      <c r="H23" s="130">
        <f t="shared" si="1"/>
        <v>4.6845217174222315E-3</v>
      </c>
      <c r="I23" s="354"/>
      <c r="J23" s="131"/>
      <c r="K23" s="312"/>
      <c r="L23" s="315"/>
      <c r="M23" s="312"/>
      <c r="N23" s="364"/>
    </row>
    <row r="24" spans="1:14" ht="15.05" x14ac:dyDescent="0.3">
      <c r="A24" s="146">
        <v>2</v>
      </c>
      <c r="B24" s="376" t="str">
        <f>PRESUPUESTO!B24</f>
        <v>MOVIMIENTO DE TIERRAS</v>
      </c>
      <c r="C24" s="377"/>
      <c r="D24" s="377"/>
      <c r="E24" s="377"/>
      <c r="F24" s="377"/>
      <c r="G24" s="378"/>
      <c r="H24" s="132"/>
      <c r="I24" s="132"/>
      <c r="J24" s="132"/>
      <c r="K24" s="313"/>
      <c r="L24" s="321"/>
      <c r="M24" s="313"/>
      <c r="N24" s="365"/>
    </row>
    <row r="25" spans="1:14" s="10" customFormat="1" ht="15.05" x14ac:dyDescent="0.3">
      <c r="A25" s="147">
        <v>2.1</v>
      </c>
      <c r="B25" s="370" t="str">
        <f>VLOOKUP(A25,PRESUPUESTO!$A$14:$G$84,2,)</f>
        <v>Excavacion Manual Localizada (incluye retiro)</v>
      </c>
      <c r="C25" s="370"/>
      <c r="D25" s="27" t="str">
        <f>VLOOKUP(A25,PRESUPUESTO!$A$14:$G$84,4,)</f>
        <v>M3</v>
      </c>
      <c r="E25" s="28">
        <f>VLOOKUP(A25,PRESUPUESTO!$A$14:$G$84,5,)</f>
        <v>39.7408</v>
      </c>
      <c r="F25" s="29">
        <f>VLOOKUP(A25,PRESUPUESTO!$A$14:$G$84,6,)</f>
        <v>60050</v>
      </c>
      <c r="G25" s="30">
        <f t="shared" ref="G25:G26" si="2">+ROUND(E25*F25,2)</f>
        <v>2386435.04</v>
      </c>
      <c r="H25" s="130">
        <f>G25/$G$77</f>
        <v>6.9248136532600243E-3</v>
      </c>
      <c r="I25" s="354"/>
      <c r="J25" s="317"/>
      <c r="K25" s="318"/>
      <c r="L25" s="319"/>
      <c r="M25" s="318"/>
      <c r="N25" s="366"/>
    </row>
    <row r="26" spans="1:14" s="10" customFormat="1" ht="15.05" x14ac:dyDescent="0.3">
      <c r="A26" s="147">
        <v>2.2000000000000002</v>
      </c>
      <c r="B26" s="370" t="str">
        <f>VLOOKUP(A26,PRESUPUESTO!$A$14:$G$84,2,)</f>
        <v xml:space="preserve">Suministro, instalacion y compactacion de material  seleccionado </v>
      </c>
      <c r="C26" s="370"/>
      <c r="D26" s="27" t="str">
        <f>VLOOKUP(A26,PRESUPUESTO!$A$14:$G$84,4,)</f>
        <v>M3</v>
      </c>
      <c r="E26" s="28">
        <f>VLOOKUP(A26,PRESUPUESTO!$A$14:$G$84,5,)</f>
        <v>64.110199999999992</v>
      </c>
      <c r="F26" s="29">
        <f>VLOOKUP(A26,PRESUPUESTO!$A$14:$G$84,6,)</f>
        <v>110130</v>
      </c>
      <c r="G26" s="30">
        <f t="shared" si="2"/>
        <v>7060456.3300000001</v>
      </c>
      <c r="H26" s="130">
        <f>G26/$G$77</f>
        <v>2.0487607486785044E-2</v>
      </c>
      <c r="I26" s="133"/>
      <c r="J26" s="354"/>
      <c r="K26" s="318"/>
      <c r="L26" s="319"/>
      <c r="M26" s="318"/>
      <c r="N26" s="366"/>
    </row>
    <row r="27" spans="1:14" ht="15.05" x14ac:dyDescent="0.3">
      <c r="A27" s="146">
        <v>3</v>
      </c>
      <c r="B27" s="376" t="str">
        <f>PRESUPUESTO!B28</f>
        <v>CONCRETOS Y ACEROS</v>
      </c>
      <c r="C27" s="377"/>
      <c r="D27" s="377"/>
      <c r="E27" s="377"/>
      <c r="F27" s="377"/>
      <c r="G27" s="378"/>
      <c r="H27" s="132"/>
      <c r="I27" s="132"/>
      <c r="J27" s="132"/>
      <c r="K27" s="313"/>
      <c r="L27" s="321"/>
      <c r="M27" s="313"/>
      <c r="N27" s="365"/>
    </row>
    <row r="28" spans="1:14" s="10" customFormat="1" ht="15.05" x14ac:dyDescent="0.3">
      <c r="A28" s="147">
        <v>3.1</v>
      </c>
      <c r="B28" s="370" t="str">
        <f>VLOOKUP(A28,PRESUPUESTO!$A$14:$G$84,2,)</f>
        <v>Viga de cimentacion de (30x35cm) en concreto 3000 PSI</v>
      </c>
      <c r="C28" s="370"/>
      <c r="D28" s="27" t="str">
        <f>VLOOKUP(A28,PRESUPUESTO!$A$14:$G$84,4,)</f>
        <v>ML</v>
      </c>
      <c r="E28" s="28">
        <f>VLOOKUP(A28,PRESUPUESTO!$A$14:$G$84,5,)</f>
        <v>106.53999999999999</v>
      </c>
      <c r="F28" s="29">
        <f>VLOOKUP(A28,PRESUPUESTO!$A$14:$G$84,6,)</f>
        <v>111153.5</v>
      </c>
      <c r="G28" s="30">
        <f t="shared" ref="G28:G75" si="3">+ROUND(E28*F28,2)</f>
        <v>11842293.890000001</v>
      </c>
      <c r="H28" s="130">
        <f t="shared" ref="H28:H33" si="4">G28/$G$77</f>
        <v>3.4363256087368621E-2</v>
      </c>
      <c r="I28" s="133"/>
      <c r="J28" s="354"/>
      <c r="K28" s="320"/>
      <c r="L28" s="319"/>
      <c r="M28" s="320"/>
      <c r="N28" s="366"/>
    </row>
    <row r="29" spans="1:14" s="10" customFormat="1" ht="15.05" x14ac:dyDescent="0.3">
      <c r="A29" s="147">
        <v>3.2</v>
      </c>
      <c r="B29" s="370" t="str">
        <f>VLOOKUP(A29,PRESUPUESTO!$A$14:$G$84,2,)</f>
        <v>Vigas de corona de (12x20cm ) en concreto de 3000 PSI</v>
      </c>
      <c r="C29" s="370"/>
      <c r="D29" s="27" t="str">
        <f>VLOOKUP(A29,PRESUPUESTO!$A$14:$G$84,4,)</f>
        <v>ML</v>
      </c>
      <c r="E29" s="28">
        <f>VLOOKUP(A29,PRESUPUESTO!$A$14:$G$84,5,)</f>
        <v>108.03999999999999</v>
      </c>
      <c r="F29" s="29">
        <f>VLOOKUP(A29,PRESUPUESTO!$A$14:$G$84,6,)</f>
        <v>75983.3</v>
      </c>
      <c r="G29" s="30">
        <f t="shared" si="3"/>
        <v>8209235.7300000004</v>
      </c>
      <c r="H29" s="130">
        <f t="shared" si="4"/>
        <v>2.3821066449784458E-2</v>
      </c>
      <c r="I29" s="133"/>
      <c r="J29" s="317"/>
      <c r="K29" s="320"/>
      <c r="L29" s="319"/>
      <c r="M29" s="354"/>
      <c r="N29" s="366"/>
    </row>
    <row r="30" spans="1:14" s="10" customFormat="1" ht="15.05" x14ac:dyDescent="0.3">
      <c r="A30" s="147">
        <v>3.3</v>
      </c>
      <c r="B30" s="370" t="str">
        <f>VLOOKUP(A30,PRESUPUESTO!$A$14:$G$84,2,)</f>
        <v>Columnetas de confinamiento de (12x20cm) en concreto  de 3000 PSI</v>
      </c>
      <c r="C30" s="370"/>
      <c r="D30" s="27" t="str">
        <f>VLOOKUP(A30,PRESUPUESTO!$A$14:$G$84,4,)</f>
        <v>ML</v>
      </c>
      <c r="E30" s="28">
        <f>VLOOKUP(A30,PRESUPUESTO!$A$14:$G$84,5,)</f>
        <v>152.04999999999998</v>
      </c>
      <c r="F30" s="29">
        <f>VLOOKUP(A30,PRESUPUESTO!$A$14:$G$84,6,)</f>
        <v>75248.149999999994</v>
      </c>
      <c r="G30" s="30">
        <f t="shared" si="3"/>
        <v>11441481.210000001</v>
      </c>
      <c r="H30" s="130">
        <f t="shared" si="4"/>
        <v>3.3200201961720285E-2</v>
      </c>
      <c r="I30" s="133"/>
      <c r="J30" s="317"/>
      <c r="K30" s="320"/>
      <c r="L30" s="354"/>
      <c r="M30" s="320"/>
      <c r="N30" s="366"/>
    </row>
    <row r="31" spans="1:14" s="10" customFormat="1" ht="15.05" x14ac:dyDescent="0.3">
      <c r="A31" s="147">
        <v>3.4</v>
      </c>
      <c r="B31" s="370" t="str">
        <f>VLOOKUP(A31,PRESUPUESTO!$A$14:$G$84,2,)</f>
        <v xml:space="preserve">Acero de refuerzo Fy= 420 mpa </v>
      </c>
      <c r="C31" s="370"/>
      <c r="D31" s="27" t="str">
        <f>VLOOKUP(A31,PRESUPUESTO!$A$14:$G$84,4,)</f>
        <v>KG</v>
      </c>
      <c r="E31" s="28">
        <f>VLOOKUP(A31,PRESUPUESTO!$A$14:$G$84,5,)</f>
        <v>2425.3614600000014</v>
      </c>
      <c r="F31" s="29">
        <f>VLOOKUP(A31,PRESUPUESTO!$A$14:$G$84,6,)</f>
        <v>12036.66</v>
      </c>
      <c r="G31" s="30">
        <f t="shared" si="3"/>
        <v>29193251.27</v>
      </c>
      <c r="H31" s="130">
        <f t="shared" si="4"/>
        <v>8.471122053988385E-2</v>
      </c>
      <c r="I31" s="354"/>
      <c r="J31" s="354"/>
      <c r="K31" s="320"/>
      <c r="L31" s="319"/>
      <c r="M31" s="320"/>
      <c r="N31" s="366"/>
    </row>
    <row r="32" spans="1:14" s="10" customFormat="1" ht="15.05" x14ac:dyDescent="0.3">
      <c r="A32" s="147">
        <v>3.5</v>
      </c>
      <c r="B32" s="370" t="str">
        <f>VLOOKUP(A32,PRESUPUESTO!$A$14:$G$84,2,)</f>
        <v>Concreto Ciclopeo 60-40 Mejoramiento del terreno (40X40)</v>
      </c>
      <c r="C32" s="370"/>
      <c r="D32" s="27" t="str">
        <f>VLOOKUP(A32,PRESUPUESTO!$A$14:$G$84,4,)</f>
        <v>M3</v>
      </c>
      <c r="E32" s="28">
        <f>VLOOKUP(A32,PRESUPUESTO!$A$14:$G$84,5,)</f>
        <v>19.8704</v>
      </c>
      <c r="F32" s="29">
        <f>VLOOKUP(A32,PRESUPUESTO!$A$14:$G$84,6,)</f>
        <v>445520</v>
      </c>
      <c r="G32" s="30">
        <f t="shared" si="3"/>
        <v>8852660.6099999994</v>
      </c>
      <c r="H32" s="130">
        <f t="shared" si="4"/>
        <v>2.5688118064091624E-2</v>
      </c>
      <c r="I32" s="354"/>
      <c r="J32" s="317"/>
      <c r="K32" s="320"/>
      <c r="L32" s="319"/>
      <c r="M32" s="320"/>
      <c r="N32" s="366"/>
    </row>
    <row r="33" spans="1:14" s="10" customFormat="1" ht="15.05" x14ac:dyDescent="0.3">
      <c r="A33" s="147">
        <v>3.6</v>
      </c>
      <c r="B33" s="370" t="str">
        <f>VLOOKUP(A33,PRESUPUESTO!$A$14:$G$84,2,)</f>
        <v>Placa de contrapiso e=0.10m concreto 3000 PSI</v>
      </c>
      <c r="C33" s="370"/>
      <c r="D33" s="27" t="str">
        <f>VLOOKUP(A33,PRESUPUESTO!$A$14:$G$84,4,)</f>
        <v>M2</v>
      </c>
      <c r="E33" s="28">
        <f>VLOOKUP(A33,PRESUPUESTO!$A$14:$G$84,5,)</f>
        <v>196.59700000000001</v>
      </c>
      <c r="F33" s="29">
        <f>VLOOKUP(A33,PRESUPUESTO!$A$14:$G$84,6,)</f>
        <v>97613.34</v>
      </c>
      <c r="G33" s="30">
        <f t="shared" si="3"/>
        <v>19190489.800000001</v>
      </c>
      <c r="H33" s="130">
        <f t="shared" si="4"/>
        <v>5.5685808979651606E-2</v>
      </c>
      <c r="I33" s="133"/>
      <c r="J33" s="316"/>
      <c r="K33" s="354"/>
      <c r="L33" s="319"/>
      <c r="M33" s="318"/>
      <c r="N33" s="366"/>
    </row>
    <row r="34" spans="1:14" ht="15.05" x14ac:dyDescent="0.3">
      <c r="A34" s="146">
        <v>4</v>
      </c>
      <c r="B34" s="376" t="str">
        <f>PRESUPUESTO!B36</f>
        <v>INSTALACIONES HIDROSANITARIAS Y ELECTRICAS</v>
      </c>
      <c r="C34" s="377"/>
      <c r="D34" s="377"/>
      <c r="E34" s="377"/>
      <c r="F34" s="377"/>
      <c r="G34" s="378"/>
      <c r="H34" s="132"/>
      <c r="I34" s="132"/>
      <c r="J34" s="132"/>
      <c r="K34" s="313"/>
      <c r="L34" s="321"/>
      <c r="M34" s="313"/>
      <c r="N34" s="365"/>
    </row>
    <row r="35" spans="1:14" s="10" customFormat="1" ht="15.05" x14ac:dyDescent="0.3">
      <c r="A35" s="147">
        <v>4.0999999999999996</v>
      </c>
      <c r="B35" s="580" t="str">
        <f>VLOOKUP(A35,PRESUPUESTO!$A$14:$G$84,2,)</f>
        <v xml:space="preserve">Suministro e instalacion de tuberia hidraulica en PVC presion 3/4"  incluido accesorios   </v>
      </c>
      <c r="C35" s="580"/>
      <c r="D35" s="27" t="str">
        <f>VLOOKUP(A35,PRESUPUESTO!$A$14:$G$84,4,)</f>
        <v>ML</v>
      </c>
      <c r="E35" s="28">
        <f>VLOOKUP(A35,PRESUPUESTO!$A$14:$G$84,5,)</f>
        <v>60.400000000000006</v>
      </c>
      <c r="F35" s="29">
        <f>VLOOKUP(A35,PRESUPUESTO!$A$14:$G$84,6,)</f>
        <v>14335</v>
      </c>
      <c r="G35" s="30">
        <f t="shared" si="3"/>
        <v>865834</v>
      </c>
      <c r="H35" s="130">
        <f t="shared" ref="H35:H52" si="5">G35/$G$77</f>
        <v>2.5124250206520352E-3</v>
      </c>
      <c r="I35" s="133"/>
      <c r="J35" s="354"/>
      <c r="K35" s="317"/>
      <c r="L35" s="319"/>
      <c r="M35" s="317"/>
      <c r="N35" s="366"/>
    </row>
    <row r="36" spans="1:14" s="10" customFormat="1" ht="15.05" x14ac:dyDescent="0.3">
      <c r="A36" s="147">
        <v>4.2</v>
      </c>
      <c r="B36" s="580" t="str">
        <f>VLOOKUP(A36,PRESUPUESTO!$A$14:$G$84,2,)</f>
        <v xml:space="preserve">Suministro e instalacion de tuberia hidraulica en PVC presion 1/2"  incluido accesorios   </v>
      </c>
      <c r="C36" s="580"/>
      <c r="D36" s="27" t="str">
        <f>VLOOKUP(A36,PRESUPUESTO!$A$14:$G$84,4,)</f>
        <v>ML</v>
      </c>
      <c r="E36" s="28">
        <f>VLOOKUP(A36,PRESUPUESTO!$A$14:$G$84,5,)</f>
        <v>14.600000000000001</v>
      </c>
      <c r="F36" s="29">
        <f>VLOOKUP(A36,PRESUPUESTO!$A$14:$G$84,6,)</f>
        <v>12335</v>
      </c>
      <c r="G36" s="30">
        <f t="shared" si="3"/>
        <v>180091</v>
      </c>
      <c r="H36" s="130">
        <f t="shared" si="5"/>
        <v>5.2257723119471591E-4</v>
      </c>
      <c r="I36" s="133"/>
      <c r="J36" s="354"/>
      <c r="K36" s="317"/>
      <c r="L36" s="319"/>
      <c r="M36" s="317"/>
      <c r="N36" s="366"/>
    </row>
    <row r="37" spans="1:14" s="10" customFormat="1" ht="15.05" x14ac:dyDescent="0.3">
      <c r="A37" s="147">
        <v>4.3</v>
      </c>
      <c r="B37" s="370" t="str">
        <f>VLOOKUP(A37,PRESUPUESTO!$A$14:$G$84,2,)</f>
        <v xml:space="preserve">Suministro e instalacion de  tubieria sanitaria en PVC 4" incluido accesorios </v>
      </c>
      <c r="C37" s="370"/>
      <c r="D37" s="27" t="str">
        <f>VLOOKUP(A37,PRESUPUESTO!$A$14:$G$84,4,)</f>
        <v>ML</v>
      </c>
      <c r="E37" s="28">
        <f>VLOOKUP(A37,PRESUPUESTO!$A$14:$G$84,5,)</f>
        <v>80.94</v>
      </c>
      <c r="F37" s="29">
        <f>VLOOKUP(A37,PRESUPUESTO!$A$14:$G$84,6,)</f>
        <v>54870</v>
      </c>
      <c r="G37" s="30">
        <f t="shared" si="3"/>
        <v>4441177.8</v>
      </c>
      <c r="H37" s="130">
        <f t="shared" si="5"/>
        <v>1.2887142599949135E-2</v>
      </c>
      <c r="I37" s="133"/>
      <c r="J37" s="354"/>
      <c r="K37" s="317"/>
      <c r="L37" s="319"/>
      <c r="M37" s="317"/>
      <c r="N37" s="366"/>
    </row>
    <row r="38" spans="1:14" s="10" customFormat="1" ht="15.05" x14ac:dyDescent="0.3">
      <c r="A38" s="147">
        <v>4.4000000000000004</v>
      </c>
      <c r="B38" s="370" t="str">
        <f>VLOOKUP(A38,PRESUPUESTO!$A$14:$G$84,2,)</f>
        <v xml:space="preserve">Suministro e instalacion de  tubieria sanitaria en PVC 2" incluido accesorios </v>
      </c>
      <c r="C38" s="370"/>
      <c r="D38" s="27" t="str">
        <f>VLOOKUP(A38,PRESUPUESTO!$A$14:$G$84,4,)</f>
        <v>ML</v>
      </c>
      <c r="E38" s="28">
        <f>VLOOKUP(A38,PRESUPUESTO!$A$14:$G$84,5,)</f>
        <v>48.64</v>
      </c>
      <c r="F38" s="29">
        <f>VLOOKUP(A38,PRESUPUESTO!$A$14:$G$84,6,)</f>
        <v>36633.339999999997</v>
      </c>
      <c r="G38" s="30">
        <f t="shared" si="3"/>
        <v>1781845.66</v>
      </c>
      <c r="H38" s="130">
        <f t="shared" si="5"/>
        <v>5.1704525568691444E-3</v>
      </c>
      <c r="I38" s="133"/>
      <c r="J38" s="354"/>
      <c r="K38" s="317"/>
      <c r="L38" s="319"/>
      <c r="M38" s="317"/>
      <c r="N38" s="366"/>
    </row>
    <row r="39" spans="1:14" s="10" customFormat="1" ht="15.05" x14ac:dyDescent="0.3">
      <c r="A39" s="147">
        <v>4.5</v>
      </c>
      <c r="B39" s="370" t="str">
        <f>VLOOKUP(A39,PRESUPUESTO!$A$14:$G$84,2,)</f>
        <v xml:space="preserve">construccion de caja de inspeccion sanitaria de (80X80) en mamposteria incluye tapa en concreto </v>
      </c>
      <c r="C39" s="370"/>
      <c r="D39" s="27" t="str">
        <f>VLOOKUP(A39,PRESUPUESTO!$A$14:$G$84,4,)</f>
        <v>UND</v>
      </c>
      <c r="E39" s="28">
        <f>VLOOKUP(A39,PRESUPUESTO!$A$14:$G$84,5,)</f>
        <v>3</v>
      </c>
      <c r="F39" s="29">
        <f>VLOOKUP(A39,PRESUPUESTO!$A$14:$G$84,6,)</f>
        <v>513462.5</v>
      </c>
      <c r="G39" s="30">
        <f t="shared" si="3"/>
        <v>1540387.5</v>
      </c>
      <c r="H39" s="130">
        <f t="shared" si="5"/>
        <v>4.4698037920659576E-3</v>
      </c>
      <c r="I39" s="354"/>
      <c r="J39" s="316"/>
      <c r="K39" s="317"/>
      <c r="L39" s="319"/>
      <c r="M39" s="317"/>
      <c r="N39" s="366"/>
    </row>
    <row r="40" spans="1:14" s="10" customFormat="1" ht="15.05" x14ac:dyDescent="0.3">
      <c r="A40" s="147">
        <v>4.5999999999999996</v>
      </c>
      <c r="B40" s="370" t="str">
        <f>VLOOKUP(A40,PRESUPUESTO!$A$14:$G$84,2,)</f>
        <v>Punto Sanitario 2"</v>
      </c>
      <c r="C40" s="370"/>
      <c r="D40" s="27" t="str">
        <f>VLOOKUP(A40,PRESUPUESTO!$A$14:$G$84,4,)</f>
        <v>UND</v>
      </c>
      <c r="E40" s="28">
        <f>VLOOKUP(A40,PRESUPUESTO!$A$14:$G$84,5,)</f>
        <v>15</v>
      </c>
      <c r="F40" s="29">
        <f>VLOOKUP(A40,PRESUPUESTO!$A$14:$G$84,6,)</f>
        <v>75066.66</v>
      </c>
      <c r="G40" s="30">
        <f t="shared" si="3"/>
        <v>1125999.8999999999</v>
      </c>
      <c r="H40" s="130">
        <f t="shared" si="5"/>
        <v>3.2673587801029863E-3</v>
      </c>
      <c r="I40" s="133"/>
      <c r="J40" s="316"/>
      <c r="K40" s="354"/>
      <c r="L40" s="319"/>
      <c r="M40" s="317"/>
      <c r="N40" s="366"/>
    </row>
    <row r="41" spans="1:14" s="10" customFormat="1" ht="15.05" x14ac:dyDescent="0.3">
      <c r="A41" s="147">
        <v>4.7</v>
      </c>
      <c r="B41" s="370" t="str">
        <f>VLOOKUP(A41,PRESUPUESTO!$A$14:$G$84,2,)</f>
        <v>Punto Sanitario 4"</v>
      </c>
      <c r="C41" s="370"/>
      <c r="D41" s="27" t="str">
        <f>VLOOKUP(A41,PRESUPUESTO!$A$14:$G$84,4,)</f>
        <v>UND</v>
      </c>
      <c r="E41" s="28">
        <f>VLOOKUP(A41,PRESUPUESTO!$A$14:$G$84,5,)</f>
        <v>7</v>
      </c>
      <c r="F41" s="29">
        <f>VLOOKUP(A41,PRESUPUESTO!$A$14:$G$84,6,)</f>
        <v>153900</v>
      </c>
      <c r="G41" s="30">
        <f t="shared" si="3"/>
        <v>1077300</v>
      </c>
      <c r="H41" s="130">
        <f t="shared" si="5"/>
        <v>3.1260443396175681E-3</v>
      </c>
      <c r="I41" s="133"/>
      <c r="J41" s="316"/>
      <c r="K41" s="354"/>
      <c r="L41" s="319"/>
      <c r="M41" s="317"/>
      <c r="N41" s="366"/>
    </row>
    <row r="42" spans="1:14" s="10" customFormat="1" ht="15.05" x14ac:dyDescent="0.3">
      <c r="A42" s="147">
        <v>4.8</v>
      </c>
      <c r="B42" s="370" t="str">
        <f>VLOOKUP(A42,PRESUPUESTO!$A$14:$G$84,2,)</f>
        <v>Suministro e instalación de ducha tipo telefónica cromada, incluye regadera, brazo, chapeta, accesorios de fijación, conexiones</v>
      </c>
      <c r="C42" s="370"/>
      <c r="D42" s="27" t="str">
        <f>VLOOKUP(A42,PRESUPUESTO!$A$14:$G$84,4,)</f>
        <v>UND</v>
      </c>
      <c r="E42" s="28">
        <f>VLOOKUP(A42,PRESUPUESTO!$A$14:$G$84,5,)</f>
        <v>4</v>
      </c>
      <c r="F42" s="29">
        <f>VLOOKUP(A42,PRESUPUESTO!$A$14:$G$84,6,)</f>
        <v>239825</v>
      </c>
      <c r="G42" s="30">
        <f t="shared" si="3"/>
        <v>959300</v>
      </c>
      <c r="H42" s="130">
        <f t="shared" si="5"/>
        <v>2.783639037403818E-3</v>
      </c>
      <c r="I42" s="133"/>
      <c r="J42" s="316"/>
      <c r="K42" s="317"/>
      <c r="L42" s="319"/>
      <c r="M42" s="317"/>
      <c r="N42" s="367"/>
    </row>
    <row r="43" spans="1:14" s="10" customFormat="1" ht="15.05" x14ac:dyDescent="0.3">
      <c r="A43" s="147">
        <v>4.9000000000000004</v>
      </c>
      <c r="B43" s="370" t="str">
        <f>VLOOKUP(A43,PRESUPUESTO!$A$14:$G$84,2,)</f>
        <v>Suministro e instalación de taza sanitaria tipo institucional (incluye accesorios de fijación y conexión)</v>
      </c>
      <c r="C43" s="370"/>
      <c r="D43" s="27" t="str">
        <f>VLOOKUP(A43,PRESUPUESTO!$A$14:$G$84,4,)</f>
        <v>UND</v>
      </c>
      <c r="E43" s="28">
        <f>VLOOKUP(A43,PRESUPUESTO!$A$14:$G$84,5,)</f>
        <v>4</v>
      </c>
      <c r="F43" s="29">
        <f>VLOOKUP(A43,PRESUPUESTO!$A$14:$G$84,6,)</f>
        <v>383616.66</v>
      </c>
      <c r="G43" s="30">
        <f t="shared" si="3"/>
        <v>1534466.64</v>
      </c>
      <c r="H43" s="130">
        <f t="shared" si="5"/>
        <v>4.452622996662014E-3</v>
      </c>
      <c r="I43" s="133"/>
      <c r="J43" s="316"/>
      <c r="K43" s="317"/>
      <c r="L43" s="319"/>
      <c r="M43" s="317"/>
      <c r="N43" s="367"/>
    </row>
    <row r="44" spans="1:14" s="10" customFormat="1" ht="15.05" x14ac:dyDescent="0.3">
      <c r="A44" s="368">
        <v>4.0999999999999996</v>
      </c>
      <c r="B44" s="370" t="str">
        <f>PRESUPUESTO!B46</f>
        <v>Suministro e instalación de lavamanos institucional sobreponer línea económica</v>
      </c>
      <c r="C44" s="370"/>
      <c r="D44" s="27" t="str">
        <f>PRESUPUESTO!D46</f>
        <v>UND</v>
      </c>
      <c r="E44" s="28">
        <f>PRESUPUESTO!E46</f>
        <v>7</v>
      </c>
      <c r="F44" s="29">
        <f>PRESUPUESTO!F46</f>
        <v>311253.34000000003</v>
      </c>
      <c r="G44" s="30">
        <f t="shared" si="3"/>
        <v>2178773.38</v>
      </c>
      <c r="H44" s="130">
        <f t="shared" si="5"/>
        <v>6.3222335392726595E-3</v>
      </c>
      <c r="I44" s="133"/>
      <c r="J44" s="316"/>
      <c r="K44" s="317"/>
      <c r="L44" s="319"/>
      <c r="M44" s="317"/>
      <c r="N44" s="367"/>
    </row>
    <row r="45" spans="1:14" s="10" customFormat="1" ht="15.05" x14ac:dyDescent="0.3">
      <c r="A45" s="147">
        <v>4.1100000000000003</v>
      </c>
      <c r="B45" s="370" t="str">
        <f>VLOOKUP(A45,PRESUPUESTO!$A$14:$G$84,2,)</f>
        <v>Suministro e instalación de unidad sanitaria tipo PMR (personas con movilidad reducida) línea económica</v>
      </c>
      <c r="C45" s="370"/>
      <c r="D45" s="27" t="str">
        <f>VLOOKUP(A45,PRESUPUESTO!$A$14:$G$84,4,)</f>
        <v>UND</v>
      </c>
      <c r="E45" s="28">
        <f>VLOOKUP(A45,PRESUPUESTO!$A$14:$G$84,5,)</f>
        <v>3</v>
      </c>
      <c r="F45" s="29">
        <f>VLOOKUP(A45,PRESUPUESTO!$A$14:$G$84,6,)</f>
        <v>1000208.34</v>
      </c>
      <c r="G45" s="30">
        <f t="shared" si="3"/>
        <v>3000625.02</v>
      </c>
      <c r="H45" s="130">
        <f t="shared" si="5"/>
        <v>8.7070331932477974E-3</v>
      </c>
      <c r="I45" s="133"/>
      <c r="J45" s="316"/>
      <c r="K45" s="317"/>
      <c r="L45" s="319"/>
      <c r="M45" s="317"/>
      <c r="N45" s="367"/>
    </row>
    <row r="46" spans="1:14" s="10" customFormat="1" ht="15.05" x14ac:dyDescent="0.3">
      <c r="A46" s="147">
        <v>4.12</v>
      </c>
      <c r="B46" s="370" t="str">
        <f>VLOOKUP(A46,PRESUPUESTO!$A$14:$G$84,2,)</f>
        <v>Sondeo de redes sanitarias</v>
      </c>
      <c r="C46" s="370"/>
      <c r="D46" s="27" t="str">
        <f>VLOOKUP(A46,PRESUPUESTO!$A$14:$G$84,4,)</f>
        <v>ML</v>
      </c>
      <c r="E46" s="28">
        <f>VLOOKUP(A46,PRESUPUESTO!$A$14:$G$84,5,)</f>
        <v>30</v>
      </c>
      <c r="F46" s="29">
        <f>VLOOKUP(A46,PRESUPUESTO!$A$14:$G$84,6,)</f>
        <v>7565</v>
      </c>
      <c r="G46" s="30">
        <f t="shared" si="3"/>
        <v>226950</v>
      </c>
      <c r="H46" s="130">
        <f t="shared" si="5"/>
        <v>6.5854985879161521E-4</v>
      </c>
      <c r="I46" s="354"/>
      <c r="J46" s="316"/>
      <c r="K46" s="317"/>
      <c r="L46" s="319"/>
      <c r="M46" s="317"/>
      <c r="N46" s="366"/>
    </row>
    <row r="47" spans="1:14" s="10" customFormat="1" ht="15.05" x14ac:dyDescent="0.3">
      <c r="A47" s="147">
        <v>4.13</v>
      </c>
      <c r="B47" s="370" t="str">
        <f>VLOOKUP(A47,PRESUPUESTO!$A$14:$G$84,2,)</f>
        <v>Punto electrico 1/2"</v>
      </c>
      <c r="C47" s="370"/>
      <c r="D47" s="27" t="str">
        <f>VLOOKUP(A47,PRESUPUESTO!$A$14:$G$84,4,)</f>
        <v>UND</v>
      </c>
      <c r="E47" s="28">
        <f>VLOOKUP(A47,PRESUPUESTO!$A$14:$G$84,5,)</f>
        <v>54</v>
      </c>
      <c r="F47" s="29">
        <f>VLOOKUP(A47,PRESUPUESTO!$A$14:$G$84,6,)</f>
        <v>58975</v>
      </c>
      <c r="G47" s="30">
        <f t="shared" si="3"/>
        <v>3184650</v>
      </c>
      <c r="H47" s="130">
        <f t="shared" si="5"/>
        <v>9.2410258109747404E-3</v>
      </c>
      <c r="I47" s="133"/>
      <c r="J47" s="316"/>
      <c r="K47" s="317"/>
      <c r="L47" s="319"/>
      <c r="M47" s="354"/>
      <c r="N47" s="366"/>
    </row>
    <row r="48" spans="1:14" s="10" customFormat="1" ht="15.05" x14ac:dyDescent="0.3">
      <c r="A48" s="147">
        <v>4.1399999999999997</v>
      </c>
      <c r="B48" s="370" t="str">
        <f>VLOOKUP(A48,PRESUPUESTO!$A$14:$G$84,2,)</f>
        <v>Tuberia EMT 1/2"</v>
      </c>
      <c r="C48" s="370"/>
      <c r="D48" s="27" t="str">
        <f>VLOOKUP(A48,PRESUPUESTO!$A$14:$G$84,4,)</f>
        <v>ML</v>
      </c>
      <c r="E48" s="28">
        <f>VLOOKUP(A48,PRESUPUESTO!$A$14:$G$84,5,)</f>
        <v>209.37999999999994</v>
      </c>
      <c r="F48" s="29">
        <f>VLOOKUP(A48,PRESUPUESTO!$A$14:$G$84,6,)</f>
        <v>27480</v>
      </c>
      <c r="G48" s="30">
        <f t="shared" si="3"/>
        <v>5753762.4000000004</v>
      </c>
      <c r="H48" s="130">
        <f t="shared" si="5"/>
        <v>1.6695921639306038E-2</v>
      </c>
      <c r="I48" s="133"/>
      <c r="J48" s="316"/>
      <c r="K48" s="317"/>
      <c r="L48" s="319"/>
      <c r="M48" s="354"/>
      <c r="N48" s="366"/>
    </row>
    <row r="49" spans="1:14" s="10" customFormat="1" ht="15.05" x14ac:dyDescent="0.3">
      <c r="A49" s="147">
        <v>4.1500000000000004</v>
      </c>
      <c r="B49" s="370" t="str">
        <f>VLOOKUP(A49,PRESUPUESTO!$A$14:$G$84,2,)</f>
        <v>Interrutor sencillo</v>
      </c>
      <c r="C49" s="370"/>
      <c r="D49" s="27" t="str">
        <f>VLOOKUP(A49,PRESUPUESTO!$A$14:$G$84,4,)</f>
        <v>UND</v>
      </c>
      <c r="E49" s="28">
        <f>VLOOKUP(A49,PRESUPUESTO!$A$14:$G$84,5,)</f>
        <v>10</v>
      </c>
      <c r="F49" s="29">
        <f>VLOOKUP(A49,PRESUPUESTO!$A$14:$G$84,6,)</f>
        <v>31006.25</v>
      </c>
      <c r="G49" s="30">
        <f t="shared" si="3"/>
        <v>310062.5</v>
      </c>
      <c r="H49" s="130">
        <f t="shared" si="5"/>
        <v>8.9972071201399064E-4</v>
      </c>
      <c r="I49" s="133"/>
      <c r="J49" s="316"/>
      <c r="K49" s="317"/>
      <c r="L49" s="319"/>
      <c r="M49" s="354"/>
      <c r="N49" s="366"/>
    </row>
    <row r="50" spans="1:14" s="10" customFormat="1" ht="15.05" x14ac:dyDescent="0.3">
      <c r="A50" s="147">
        <v>4.16</v>
      </c>
      <c r="B50" s="370" t="str">
        <f>VLOOKUP(A50,PRESUPUESTO!$A$14:$G$84,2,)</f>
        <v>Tomacorriente doble.</v>
      </c>
      <c r="C50" s="370"/>
      <c r="D50" s="27" t="str">
        <f>VLOOKUP(A50,PRESUPUESTO!$A$14:$G$84,4,)</f>
        <v>UND</v>
      </c>
      <c r="E50" s="28">
        <f>VLOOKUP(A50,PRESUPUESTO!$A$14:$G$84,5,)</f>
        <v>13</v>
      </c>
      <c r="F50" s="29">
        <f>VLOOKUP(A50,PRESUPUESTO!$A$14:$G$84,6,)</f>
        <v>21006.25</v>
      </c>
      <c r="G50" s="30">
        <f t="shared" si="3"/>
        <v>273081.25</v>
      </c>
      <c r="H50" s="130">
        <f t="shared" si="5"/>
        <v>7.9241074521320897E-4</v>
      </c>
      <c r="I50" s="133"/>
      <c r="J50" s="316"/>
      <c r="K50" s="317"/>
      <c r="L50" s="319"/>
      <c r="M50" s="354"/>
      <c r="N50" s="366"/>
    </row>
    <row r="51" spans="1:14" s="10" customFormat="1" ht="15.05" x14ac:dyDescent="0.3">
      <c r="A51" s="147">
        <v>4.17</v>
      </c>
      <c r="B51" s="370" t="str">
        <f>VLOOKUP(A51,PRESUPUESTO!$A$14:$G$84,2,)</f>
        <v>Tomacorriente GFCI</v>
      </c>
      <c r="C51" s="370"/>
      <c r="D51" s="27" t="str">
        <f>VLOOKUP(A51,PRESUPUESTO!$A$14:$G$84,4,)</f>
        <v>UND</v>
      </c>
      <c r="E51" s="28">
        <f>VLOOKUP(A51,PRESUPUESTO!$A$14:$G$84,5,)</f>
        <v>4</v>
      </c>
      <c r="F51" s="29">
        <f>VLOOKUP(A51,PRESUPUESTO!$A$14:$G$84,6,)</f>
        <v>31006.25</v>
      </c>
      <c r="G51" s="30">
        <f t="shared" si="3"/>
        <v>124025</v>
      </c>
      <c r="H51" s="130">
        <f t="shared" si="5"/>
        <v>3.5988828480559626E-4</v>
      </c>
      <c r="I51" s="133"/>
      <c r="J51" s="316"/>
      <c r="K51" s="317"/>
      <c r="L51" s="319"/>
      <c r="M51" s="354"/>
      <c r="N51" s="366"/>
    </row>
    <row r="52" spans="1:14" s="10" customFormat="1" ht="15.05" x14ac:dyDescent="0.3">
      <c r="A52" s="147">
        <v>4.18</v>
      </c>
      <c r="B52" s="370" t="str">
        <f>VLOOKUP(A52,PRESUPUESTO!$A$14:$G$84,2,)</f>
        <v>Tuberia PVC Conduit 1/2"</v>
      </c>
      <c r="C52" s="370"/>
      <c r="D52" s="27" t="str">
        <f>VLOOKUP(A52,PRESUPUESTO!$A$14:$G$84,4,)</f>
        <v>ML</v>
      </c>
      <c r="E52" s="28">
        <f>VLOOKUP(A52,PRESUPUESTO!$A$14:$G$84,5,)</f>
        <v>16</v>
      </c>
      <c r="F52" s="29">
        <f>VLOOKUP(A52,PRESUPUESTO!$A$14:$G$84,6,)</f>
        <v>18340</v>
      </c>
      <c r="G52" s="30">
        <f t="shared" si="3"/>
        <v>293440</v>
      </c>
      <c r="H52" s="130">
        <f t="shared" si="5"/>
        <v>8.5148654136951555E-4</v>
      </c>
      <c r="I52" s="133"/>
      <c r="J52" s="316"/>
      <c r="K52" s="317"/>
      <c r="L52" s="319"/>
      <c r="M52" s="354"/>
      <c r="N52" s="366"/>
    </row>
    <row r="53" spans="1:14" ht="15.05" x14ac:dyDescent="0.3">
      <c r="A53" s="146">
        <v>5</v>
      </c>
      <c r="B53" s="376" t="str">
        <f>PRESUPUESTO!B56</f>
        <v>CUBIERTA</v>
      </c>
      <c r="C53" s="377"/>
      <c r="D53" s="377"/>
      <c r="E53" s="377"/>
      <c r="F53" s="377"/>
      <c r="G53" s="378"/>
      <c r="H53" s="132"/>
      <c r="I53" s="132"/>
      <c r="J53" s="132"/>
      <c r="K53" s="313"/>
      <c r="L53" s="321"/>
      <c r="M53" s="313"/>
      <c r="N53" s="365"/>
    </row>
    <row r="54" spans="1:14" s="10" customFormat="1" ht="15.05" x14ac:dyDescent="0.3">
      <c r="A54" s="147">
        <v>5.0999999999999996</v>
      </c>
      <c r="B54" s="370" t="str">
        <f>VLOOKUP(A54,PRESUPUESTO!$A$14:$G$84,2,)</f>
        <v xml:space="preserve">Suministro e instalacion de correas metalicas en perfil retangular de ( 120 x 50 x 2 mm) </v>
      </c>
      <c r="C54" s="370"/>
      <c r="D54" s="27" t="str">
        <f>VLOOKUP(A54,PRESUPUESTO!$A$14:$G$84,4,)</f>
        <v>ML</v>
      </c>
      <c r="E54" s="28">
        <f>VLOOKUP(A54,PRESUPUESTO!$A$14:$G$84,5,)</f>
        <v>271.8</v>
      </c>
      <c r="F54" s="29">
        <f>VLOOKUP(A54,PRESUPUESTO!$A$14:$G$84,6,)</f>
        <v>53550</v>
      </c>
      <c r="G54" s="30">
        <f t="shared" si="3"/>
        <v>14554890</v>
      </c>
      <c r="H54" s="130">
        <f>G54/$G$77</f>
        <v>4.2234504314727882E-2</v>
      </c>
      <c r="I54" s="133"/>
      <c r="J54" s="316"/>
      <c r="K54" s="317"/>
      <c r="L54" s="319"/>
      <c r="M54" s="354"/>
      <c r="N54" s="367"/>
    </row>
    <row r="55" spans="1:14" s="10" customFormat="1" ht="15.05" x14ac:dyDescent="0.3">
      <c r="A55" s="147">
        <v>5.2</v>
      </c>
      <c r="B55" s="370" t="str">
        <f>VLOOKUP(A55,PRESUPUESTO!$A$14:$G$84,2,)</f>
        <v>Suministro e instalacion de tejas arquitectonica de Cal 28</v>
      </c>
      <c r="C55" s="370"/>
      <c r="D55" s="27" t="str">
        <f>VLOOKUP(A55,PRESUPUESTO!$A$14:$G$84,4,)</f>
        <v>M2</v>
      </c>
      <c r="E55" s="28">
        <f>VLOOKUP(A55,PRESUPUESTO!$A$14:$G$84,5,)</f>
        <v>205.36</v>
      </c>
      <c r="F55" s="29">
        <f>VLOOKUP(A55,PRESUPUESTO!$A$14:$G$84,6,)</f>
        <v>69033.83</v>
      </c>
      <c r="G55" s="30">
        <f t="shared" si="3"/>
        <v>14176787.33</v>
      </c>
      <c r="H55" s="130">
        <f>G55/$G$77</f>
        <v>4.1137348730073846E-2</v>
      </c>
      <c r="I55" s="133"/>
      <c r="J55" s="316"/>
      <c r="K55" s="317"/>
      <c r="L55" s="319"/>
      <c r="M55" s="354"/>
      <c r="N55" s="367"/>
    </row>
    <row r="56" spans="1:14" s="10" customFormat="1" ht="15.05" x14ac:dyDescent="0.3">
      <c r="A56" s="147">
        <v>5.3</v>
      </c>
      <c r="B56" s="370" t="str">
        <f>VLOOKUP(A56,PRESUPUESTO!$A$14:$G$84,2,)</f>
        <v>Suministro e instalacion de caballete arquitectonico de Cal 28</v>
      </c>
      <c r="C56" s="370"/>
      <c r="D56" s="27" t="str">
        <f>VLOOKUP(A56,PRESUPUESTO!$A$14:$G$84,4,)</f>
        <v>ML</v>
      </c>
      <c r="E56" s="28">
        <f>VLOOKUP(A56,PRESUPUESTO!$A$14:$G$84,5,)</f>
        <v>15.1</v>
      </c>
      <c r="F56" s="29">
        <f>VLOOKUP(A56,PRESUPUESTO!$A$14:$G$84,6,)</f>
        <v>35992.22</v>
      </c>
      <c r="G56" s="30">
        <f t="shared" si="3"/>
        <v>543482.52</v>
      </c>
      <c r="H56" s="130">
        <f>G56/$G$77</f>
        <v>1.5770448856651739E-3</v>
      </c>
      <c r="I56" s="133"/>
      <c r="J56" s="316"/>
      <c r="K56" s="317"/>
      <c r="L56" s="319"/>
      <c r="M56" s="317"/>
      <c r="N56" s="367"/>
    </row>
    <row r="57" spans="1:14" ht="15.05" x14ac:dyDescent="0.3">
      <c r="A57" s="146">
        <v>6</v>
      </c>
      <c r="B57" s="376" t="str">
        <f>PRESUPUESTO!B61</f>
        <v>MAMPOSTERIA, ACABADOS, PINTURA Y PISOS</v>
      </c>
      <c r="C57" s="377"/>
      <c r="D57" s="377"/>
      <c r="E57" s="377"/>
      <c r="F57" s="377"/>
      <c r="G57" s="378"/>
      <c r="H57" s="132"/>
      <c r="I57" s="132"/>
      <c r="J57" s="132"/>
      <c r="K57" s="313"/>
      <c r="L57" s="321"/>
      <c r="M57" s="313"/>
      <c r="N57" s="365"/>
    </row>
    <row r="58" spans="1:14" s="10" customFormat="1" ht="15.05" x14ac:dyDescent="0.3">
      <c r="A58" s="147">
        <v>6.1</v>
      </c>
      <c r="B58" s="370" t="str">
        <f>VLOOKUP(A58,PRESUPUESTO!$A$14:$G$84,2,)</f>
        <v>Muro en mamposteria en ladrillo farol No4.</v>
      </c>
      <c r="C58" s="370"/>
      <c r="D58" s="27" t="str">
        <f>VLOOKUP(A58,PRESUPUESTO!$A$14:$G$84,4,)</f>
        <v>M2</v>
      </c>
      <c r="E58" s="28">
        <f>VLOOKUP(A58,PRESUPUESTO!$A$14:$G$84,5,)</f>
        <v>323.81049999999993</v>
      </c>
      <c r="F58" s="29">
        <f>VLOOKUP(A58,PRESUPUESTO!$A$14:$G$84,6,)</f>
        <v>72137.119999999995</v>
      </c>
      <c r="G58" s="30">
        <f t="shared" si="3"/>
        <v>23358756.899999999</v>
      </c>
      <c r="H58" s="130">
        <f t="shared" ref="H58:H66" si="6">G58/$G$77</f>
        <v>6.7781035726118821E-2</v>
      </c>
      <c r="I58" s="133"/>
      <c r="J58" s="316"/>
      <c r="K58" s="354"/>
      <c r="L58" s="354"/>
      <c r="M58" s="317"/>
      <c r="N58" s="366"/>
    </row>
    <row r="59" spans="1:14" s="10" customFormat="1" ht="15.05" x14ac:dyDescent="0.3">
      <c r="A59" s="147">
        <v>6.2</v>
      </c>
      <c r="B59" s="370" t="str">
        <f>VLOOKUP(A59,PRESUPUESTO!$A$14:$G$84,2,)</f>
        <v>Muro en mamposteria en ladrillo farol No3</v>
      </c>
      <c r="C59" s="370"/>
      <c r="D59" s="27" t="str">
        <f>VLOOKUP(A59,PRESUPUESTO!$A$14:$G$84,4,)</f>
        <v>M2</v>
      </c>
      <c r="E59" s="28">
        <f>VLOOKUP(A59,PRESUPUESTO!$A$14:$G$84,5,)</f>
        <v>13.209000000000001</v>
      </c>
      <c r="F59" s="29">
        <f>VLOOKUP(A59,PRESUPUESTO!$A$14:$G$84,6,)</f>
        <v>67276</v>
      </c>
      <c r="G59" s="30">
        <f t="shared" si="3"/>
        <v>888648.68</v>
      </c>
      <c r="H59" s="130">
        <f t="shared" si="6"/>
        <v>2.5786272867563574E-3</v>
      </c>
      <c r="I59" s="354"/>
      <c r="J59" s="316"/>
      <c r="K59" s="317"/>
      <c r="L59" s="319"/>
      <c r="M59" s="317"/>
      <c r="N59" s="366"/>
    </row>
    <row r="60" spans="1:14" s="10" customFormat="1" ht="15.05" x14ac:dyDescent="0.3">
      <c r="A60" s="147">
        <v>6.3</v>
      </c>
      <c r="B60" s="370" t="str">
        <f>VLOOKUP(A60,PRESUPUESTO!$A$14:$G$84,2,)</f>
        <v>Suministro y construcción de bordillo en mampostería estructural de ladrillo a la vista, h=0,50 m, con alfajía en concreto reforzado fundido en sitio</v>
      </c>
      <c r="C60" s="370"/>
      <c r="D60" s="27" t="str">
        <f>VLOOKUP(A60,PRESUPUESTO!$A$14:$G$84,4,)</f>
        <v>ML</v>
      </c>
      <c r="E60" s="28">
        <f>VLOOKUP(A60,PRESUPUESTO!$A$14:$G$84,5,)</f>
        <v>10</v>
      </c>
      <c r="F60" s="29">
        <f>VLOOKUP(A60,PRESUPUESTO!$A$14:$G$84,6,)</f>
        <v>104540.88398399999</v>
      </c>
      <c r="G60" s="30">
        <f t="shared" si="3"/>
        <v>1045408.84</v>
      </c>
      <c r="H60" s="130">
        <f t="shared" si="6"/>
        <v>3.033504489806152E-3</v>
      </c>
      <c r="I60" s="354"/>
      <c r="J60" s="316"/>
      <c r="K60" s="317"/>
      <c r="L60" s="319"/>
      <c r="M60" s="317"/>
      <c r="N60" s="366"/>
    </row>
    <row r="61" spans="1:14" s="10" customFormat="1" ht="15.05" x14ac:dyDescent="0.3">
      <c r="A61" s="147">
        <v>6.4</v>
      </c>
      <c r="B61" s="370" t="str">
        <f>VLOOKUP(A61,PRESUPUESTO!$A$14:$G$84,2,)</f>
        <v xml:space="preserve">aplicación de pañete interior y exterior </v>
      </c>
      <c r="C61" s="370"/>
      <c r="D61" s="27" t="str">
        <f>VLOOKUP(A61,PRESUPUESTO!$A$14:$G$84,4,)</f>
        <v>M2</v>
      </c>
      <c r="E61" s="28">
        <f>VLOOKUP(A61,PRESUPUESTO!$A$14:$G$84,5,)</f>
        <v>639.02549999999997</v>
      </c>
      <c r="F61" s="29">
        <f>VLOOKUP(A61,PRESUPUESTO!$A$14:$G$84,6,)</f>
        <v>35728</v>
      </c>
      <c r="G61" s="30">
        <f t="shared" si="3"/>
        <v>22831103.059999999</v>
      </c>
      <c r="H61" s="130">
        <f t="shared" si="6"/>
        <v>6.6249921551970972E-2</v>
      </c>
      <c r="I61" s="133"/>
      <c r="J61" s="316"/>
      <c r="K61" s="317"/>
      <c r="L61" s="354"/>
      <c r="M61" s="354"/>
      <c r="N61" s="366"/>
    </row>
    <row r="62" spans="1:14" s="10" customFormat="1" ht="15.05" x14ac:dyDescent="0.3">
      <c r="A62" s="147">
        <v>6.5</v>
      </c>
      <c r="B62" s="370" t="str">
        <f>VLOOKUP(A62,PRESUPUESTO!$A$14:$G$84,2,)</f>
        <v xml:space="preserve">aplicación de estuco plastico </v>
      </c>
      <c r="C62" s="370"/>
      <c r="D62" s="27" t="str">
        <f>VLOOKUP(A62,PRESUPUESTO!$A$14:$G$84,4,)</f>
        <v>M2</v>
      </c>
      <c r="E62" s="28">
        <f>VLOOKUP(A62,PRESUPUESTO!$A$14:$G$84,5,)</f>
        <v>639.02549999999997</v>
      </c>
      <c r="F62" s="29">
        <f>VLOOKUP(A62,PRESUPUESTO!$A$14:$G$84,6,)</f>
        <v>22412.5</v>
      </c>
      <c r="G62" s="30">
        <f t="shared" si="3"/>
        <v>14322159.02</v>
      </c>
      <c r="H62" s="130">
        <f t="shared" si="6"/>
        <v>4.1559179555902437E-2</v>
      </c>
      <c r="I62" s="133"/>
      <c r="J62" s="316"/>
      <c r="K62" s="317"/>
      <c r="L62" s="354"/>
      <c r="M62" s="354"/>
      <c r="N62" s="366"/>
    </row>
    <row r="63" spans="1:14" s="10" customFormat="1" ht="15.05" x14ac:dyDescent="0.3">
      <c r="A63" s="147">
        <v>6.6</v>
      </c>
      <c r="B63" s="370" t="str">
        <f>VLOOKUP(A63,PRESUPUESTO!$A$14:$G$84,2,)</f>
        <v xml:space="preserve">aplicación de pintura en acabado de muros </v>
      </c>
      <c r="C63" s="370"/>
      <c r="D63" s="27" t="str">
        <f>VLOOKUP(A63,PRESUPUESTO!$A$14:$G$84,4,)</f>
        <v>M2</v>
      </c>
      <c r="E63" s="28">
        <f>VLOOKUP(A63,PRESUPUESTO!$A$14:$G$84,5,)</f>
        <v>1194.5158999999999</v>
      </c>
      <c r="F63" s="29">
        <f>VLOOKUP(A63,PRESUPUESTO!$A$14:$G$84,6,)</f>
        <v>18500</v>
      </c>
      <c r="G63" s="30">
        <f t="shared" si="3"/>
        <v>22098544.149999999</v>
      </c>
      <c r="H63" s="130">
        <f t="shared" si="6"/>
        <v>6.4124226170886867E-2</v>
      </c>
      <c r="I63" s="133"/>
      <c r="J63" s="316"/>
      <c r="K63" s="317"/>
      <c r="L63" s="319"/>
      <c r="M63" s="354"/>
      <c r="N63" s="366"/>
    </row>
    <row r="64" spans="1:14" s="10" customFormat="1" ht="15.05" x14ac:dyDescent="0.3">
      <c r="A64" s="147">
        <v>6.7</v>
      </c>
      <c r="B64" s="370" t="str">
        <f>VLOOKUP(A64,PRESUPUESTO!$A$14:$G$84,2,)</f>
        <v>Instalacion de ceramica antideslizante formato 35X35</v>
      </c>
      <c r="C64" s="370"/>
      <c r="D64" s="27" t="str">
        <f>VLOOKUP(A64,PRESUPUESTO!$A$14:$G$84,4,)</f>
        <v>M2</v>
      </c>
      <c r="E64" s="28">
        <f>VLOOKUP(A64,PRESUPUESTO!$A$14:$G$84,5,)</f>
        <v>193.62849999999997</v>
      </c>
      <c r="F64" s="29">
        <f>VLOOKUP(A64,PRESUPUESTO!$A$14:$G$84,6,)</f>
        <v>96075</v>
      </c>
      <c r="G64" s="30">
        <f t="shared" si="3"/>
        <v>18602858.140000001</v>
      </c>
      <c r="H64" s="130">
        <f t="shared" si="6"/>
        <v>5.3980654775137471E-2</v>
      </c>
      <c r="I64" s="133"/>
      <c r="J64" s="316"/>
      <c r="K64" s="317"/>
      <c r="L64" s="354"/>
      <c r="M64" s="354"/>
      <c r="N64" s="366"/>
    </row>
    <row r="65" spans="1:14" s="10" customFormat="1" ht="15.05" x14ac:dyDescent="0.3">
      <c r="A65" s="147">
        <v>6.8</v>
      </c>
      <c r="B65" s="370" t="str">
        <f>VLOOKUP(A65,PRESUPUESTO!$A$14:$G$84,2,)</f>
        <v>Suministro e instalación de cerámica para pared 30x30 cm color blanco (incluye alistado)</v>
      </c>
      <c r="C65" s="370"/>
      <c r="D65" s="27" t="str">
        <f>VLOOKUP(A65,PRESUPUESTO!$A$14:$G$84,4,)</f>
        <v>M2</v>
      </c>
      <c r="E65" s="28">
        <f>VLOOKUP(A65,PRESUPUESTO!$A$14:$G$84,5,)</f>
        <v>61.406999999999996</v>
      </c>
      <c r="F65" s="29">
        <f>VLOOKUP(A65,PRESUPUESTO!$A$14:$G$84,6,)</f>
        <v>95250</v>
      </c>
      <c r="G65" s="30">
        <f t="shared" si="3"/>
        <v>5849016.75</v>
      </c>
      <c r="H65" s="130">
        <f t="shared" si="6"/>
        <v>1.6972324982517259E-2</v>
      </c>
      <c r="I65" s="133"/>
      <c r="J65" s="316"/>
      <c r="K65" s="317"/>
      <c r="L65" s="319"/>
      <c r="M65" s="354"/>
      <c r="N65" s="366"/>
    </row>
    <row r="66" spans="1:14" s="10" customFormat="1" ht="15.05" x14ac:dyDescent="0.3">
      <c r="A66" s="147">
        <v>6.9</v>
      </c>
      <c r="B66" s="370" t="str">
        <f>VLOOKUP(A66,PRESUPUESTO!$A$14:$G$84,2,)</f>
        <v>Guardaescoba ceramica h=7cm</v>
      </c>
      <c r="C66" s="370"/>
      <c r="D66" s="27" t="str">
        <f>VLOOKUP(A66,PRESUPUESTO!$A$14:$G$84,4,)</f>
        <v>ML</v>
      </c>
      <c r="E66" s="28">
        <f>VLOOKUP(A66,PRESUPUESTO!$A$14:$G$84,5,)</f>
        <v>179.72</v>
      </c>
      <c r="F66" s="29">
        <f>VLOOKUP(A66,PRESUPUESTO!$A$14:$G$84,6,)</f>
        <v>33834.807054000004</v>
      </c>
      <c r="G66" s="30">
        <f t="shared" si="3"/>
        <v>6080791.5199999996</v>
      </c>
      <c r="H66" s="130">
        <f t="shared" si="6"/>
        <v>1.7644875068681433E-2</v>
      </c>
      <c r="I66" s="133"/>
      <c r="J66" s="316"/>
      <c r="K66" s="318"/>
      <c r="L66" s="319"/>
      <c r="M66" s="354"/>
      <c r="N66" s="366"/>
    </row>
    <row r="67" spans="1:14" ht="15.05" x14ac:dyDescent="0.3">
      <c r="A67" s="146">
        <v>7</v>
      </c>
      <c r="B67" s="376" t="str">
        <f>PRESUPUESTO!B72</f>
        <v>CARPINTERIA METALICA</v>
      </c>
      <c r="C67" s="377"/>
      <c r="D67" s="377"/>
      <c r="E67" s="377"/>
      <c r="F67" s="377"/>
      <c r="G67" s="378"/>
      <c r="H67" s="132"/>
      <c r="I67" s="132"/>
      <c r="J67" s="132"/>
      <c r="K67" s="313"/>
      <c r="L67" s="321"/>
      <c r="M67" s="313"/>
      <c r="N67" s="365"/>
    </row>
    <row r="68" spans="1:14" s="10" customFormat="1" ht="15.05" x14ac:dyDescent="0.3">
      <c r="A68" s="147">
        <v>7.1</v>
      </c>
      <c r="B68" s="370" t="str">
        <f>VLOOKUP(A68,PRESUPUESTO!$A$14:$G$84,2,)</f>
        <v>Puerta principal en lamina cold rolled cal 18 entamborada incluye cerradura (1.00X2.10)</v>
      </c>
      <c r="C68" s="370"/>
      <c r="D68" s="27" t="str">
        <f>VLOOKUP(A68,PRESUPUESTO!$A$14:$G$84,4,)</f>
        <v>UND</v>
      </c>
      <c r="E68" s="28">
        <f>VLOOKUP(A68,PRESUPUESTO!$A$14:$G$84,5,)</f>
        <v>4</v>
      </c>
      <c r="F68" s="29">
        <f>VLOOKUP(A68,PRESUPUESTO!$A$14:$G$84,6,)</f>
        <v>1219125</v>
      </c>
      <c r="G68" s="30">
        <f t="shared" si="3"/>
        <v>4876500</v>
      </c>
      <c r="H68" s="130">
        <f t="shared" ref="H68:H75" si="7">G68/$G$77</f>
        <v>1.4150334374960615E-2</v>
      </c>
      <c r="I68" s="133"/>
      <c r="J68" s="316"/>
      <c r="K68" s="317"/>
      <c r="L68" s="319"/>
      <c r="M68" s="317"/>
      <c r="N68" s="367"/>
    </row>
    <row r="69" spans="1:14" s="10" customFormat="1" ht="15.05" x14ac:dyDescent="0.3">
      <c r="A69" s="147">
        <v>7.2</v>
      </c>
      <c r="B69" s="370" t="str">
        <f>VLOOKUP(A69,PRESUPUESTO!$A$14:$G$84,2,)</f>
        <v>Puerta de baño en aluminio (1.00x2.10)</v>
      </c>
      <c r="C69" s="370"/>
      <c r="D69" s="27" t="str">
        <f>VLOOKUP(A69,PRESUPUESTO!$A$14:$G$84,4,)</f>
        <v>UND</v>
      </c>
      <c r="E69" s="28">
        <f>VLOOKUP(A69,PRESUPUESTO!$A$14:$G$84,5,)</f>
        <v>5</v>
      </c>
      <c r="F69" s="29">
        <f>VLOOKUP(A69,PRESUPUESTO!$A$14:$G$84,6,)</f>
        <v>739125</v>
      </c>
      <c r="G69" s="30">
        <f t="shared" si="3"/>
        <v>3695625</v>
      </c>
      <c r="H69" s="130">
        <f t="shared" si="7"/>
        <v>1.0723742330455003E-2</v>
      </c>
      <c r="I69" s="133"/>
      <c r="J69" s="316"/>
      <c r="K69" s="317"/>
      <c r="L69" s="319"/>
      <c r="M69" s="317"/>
      <c r="N69" s="367"/>
    </row>
    <row r="70" spans="1:14" s="10" customFormat="1" ht="15.05" x14ac:dyDescent="0.3">
      <c r="A70" s="147">
        <v>7.3</v>
      </c>
      <c r="B70" s="370" t="str">
        <f>VLOOKUP(A70,PRESUPUESTO!$A$14:$G$84,2,)</f>
        <v>Puerta de baño en aluminio compuesto corrediza  (0.90x2.10)</v>
      </c>
      <c r="C70" s="370"/>
      <c r="D70" s="27" t="str">
        <f>VLOOKUP(A70,PRESUPUESTO!$A$14:$G$84,4,)</f>
        <v>UND</v>
      </c>
      <c r="E70" s="28">
        <f>VLOOKUP(A70,PRESUPUESTO!$A$14:$G$84,5,)</f>
        <v>2</v>
      </c>
      <c r="F70" s="29">
        <f>VLOOKUP(A70,PRESUPUESTO!$A$14:$G$84,6,)</f>
        <v>420406.25</v>
      </c>
      <c r="G70" s="30">
        <f t="shared" si="3"/>
        <v>840812.5</v>
      </c>
      <c r="H70" s="130">
        <f t="shared" si="7"/>
        <v>2.4398191370135491E-3</v>
      </c>
      <c r="I70" s="133"/>
      <c r="J70" s="316"/>
      <c r="K70" s="317"/>
      <c r="L70" s="319"/>
      <c r="M70" s="317"/>
      <c r="N70" s="367"/>
    </row>
    <row r="71" spans="1:14" s="10" customFormat="1" ht="15.05" x14ac:dyDescent="0.3">
      <c r="A71" s="147">
        <v>7.4</v>
      </c>
      <c r="B71" s="370" t="str">
        <f>VLOOKUP(A71,PRESUPUESTO!$A$14:$G$84,2,)</f>
        <v>Ventana en aluminio tipo persiana (0.90x0.60)</v>
      </c>
      <c r="C71" s="370"/>
      <c r="D71" s="27" t="str">
        <f>VLOOKUP(A71,PRESUPUESTO!$A$14:$G$84,4,)</f>
        <v>UND</v>
      </c>
      <c r="E71" s="28">
        <f>VLOOKUP(A71,PRESUPUESTO!$A$14:$G$84,5,)</f>
        <v>4</v>
      </c>
      <c r="F71" s="29">
        <f>VLOOKUP(A71,PRESUPUESTO!$A$14:$G$84,6,)</f>
        <v>625812.5</v>
      </c>
      <c r="G71" s="30">
        <f t="shared" si="3"/>
        <v>2503250</v>
      </c>
      <c r="H71" s="130">
        <f t="shared" si="7"/>
        <v>7.263780277682797E-3</v>
      </c>
      <c r="I71" s="133"/>
      <c r="J71" s="316"/>
      <c r="K71" s="317"/>
      <c r="L71" s="319"/>
      <c r="M71" s="317"/>
      <c r="N71" s="367"/>
    </row>
    <row r="72" spans="1:14" s="10" customFormat="1" ht="15.05" x14ac:dyDescent="0.3">
      <c r="A72" s="147">
        <v>7.5</v>
      </c>
      <c r="B72" s="370" t="str">
        <f>VLOOKUP(A72,PRESUPUESTO!$A$14:$G$84,2,)</f>
        <v>Ventana en aluminio tipo persiana (1.20x0.50)</v>
      </c>
      <c r="C72" s="370"/>
      <c r="D72" s="27" t="str">
        <f>VLOOKUP(A72,PRESUPUESTO!$A$14:$G$84,4,)</f>
        <v>UND</v>
      </c>
      <c r="E72" s="28">
        <f>VLOOKUP(A72,PRESUPUESTO!$A$14:$G$84,5,)</f>
        <v>1</v>
      </c>
      <c r="F72" s="29">
        <f>VLOOKUP(A72,PRESUPUESTO!$A$14:$G$84,6,)</f>
        <v>376812.5</v>
      </c>
      <c r="G72" s="30">
        <f t="shared" si="3"/>
        <v>376812.5</v>
      </c>
      <c r="H72" s="130">
        <f t="shared" si="7"/>
        <v>1.093411846952701E-3</v>
      </c>
      <c r="I72" s="133"/>
      <c r="J72" s="316"/>
      <c r="K72" s="317"/>
      <c r="L72" s="319"/>
      <c r="M72" s="317"/>
      <c r="N72" s="367"/>
    </row>
    <row r="73" spans="1:14" s="10" customFormat="1" ht="15.05" x14ac:dyDescent="0.3">
      <c r="A73" s="147">
        <v>7.6</v>
      </c>
      <c r="B73" s="370" t="str">
        <f>VLOOKUP(A73,PRESUPUESTO!$A$14:$G$84,2,)</f>
        <v>Ventana en lamina Cold rolled (2.00x1.90) Corrediza incluye vidrio</v>
      </c>
      <c r="C73" s="370"/>
      <c r="D73" s="27" t="str">
        <f>VLOOKUP(A73,PRESUPUESTO!$A$14:$G$84,4,)</f>
        <v>UND</v>
      </c>
      <c r="E73" s="28">
        <f>VLOOKUP(A73,PRESUPUESTO!$A$14:$G$84,5,)</f>
        <v>4</v>
      </c>
      <c r="F73" s="29">
        <f>VLOOKUP(A73,PRESUPUESTO!$A$14:$G$84,6,)</f>
        <v>1709150</v>
      </c>
      <c r="G73" s="30">
        <f t="shared" si="3"/>
        <v>6836600</v>
      </c>
      <c r="H73" s="130">
        <f t="shared" si="7"/>
        <v>1.9838034653512918E-2</v>
      </c>
      <c r="I73" s="133"/>
      <c r="J73" s="316"/>
      <c r="K73" s="317"/>
      <c r="L73" s="319"/>
      <c r="M73" s="317"/>
      <c r="N73" s="367"/>
    </row>
    <row r="74" spans="1:14" s="10" customFormat="1" ht="15.05" x14ac:dyDescent="0.3">
      <c r="A74" s="147">
        <v>7.7</v>
      </c>
      <c r="B74" s="370" t="str">
        <f>VLOOKUP(A74,PRESUPUESTO!$A$14:$G$84,2,)</f>
        <v>Suministro e instalación de pasamanos en acero inoxidable AISI 304 con postes anclados a losa</v>
      </c>
      <c r="C74" s="370"/>
      <c r="D74" s="27" t="str">
        <f>VLOOKUP(A74,PRESUPUESTO!$A$14:$G$84,4,)</f>
        <v>ML</v>
      </c>
      <c r="E74" s="28">
        <f>VLOOKUP(A74,PRESUPUESTO!$A$14:$G$84,5,)</f>
        <v>48.74</v>
      </c>
      <c r="F74" s="29">
        <f>VLOOKUP(A74,PRESUPUESTO!$A$14:$G$84,6,)</f>
        <v>800050</v>
      </c>
      <c r="G74" s="30">
        <f t="shared" si="3"/>
        <v>38994437</v>
      </c>
      <c r="H74" s="130">
        <f t="shared" si="7"/>
        <v>0.1131517117427122</v>
      </c>
      <c r="I74" s="133"/>
      <c r="J74" s="316"/>
      <c r="K74" s="317"/>
      <c r="L74" s="319"/>
      <c r="M74" s="317"/>
      <c r="N74" s="367"/>
    </row>
    <row r="75" spans="1:14" s="10" customFormat="1" ht="15.05" x14ac:dyDescent="0.3">
      <c r="A75" s="147">
        <v>7.8</v>
      </c>
      <c r="B75" s="580" t="str">
        <f>VLOOKUP(A75,PRESUPUESTO!$A$14:$G$84,2,)</f>
        <v>Suministro e instalación de pasamanos en acero inoxidable AISI 304con anclaje lateral a muro</v>
      </c>
      <c r="C75" s="580"/>
      <c r="D75" s="27" t="str">
        <f>VLOOKUP(A75,PRESUPUESTO!$A$14:$G$84,4,)</f>
        <v>ML</v>
      </c>
      <c r="E75" s="28">
        <f>VLOOKUP(A75,PRESUPUESTO!$A$14:$G$84,5,)</f>
        <v>23.85</v>
      </c>
      <c r="F75" s="29">
        <f>VLOOKUP(A75,PRESUPUESTO!$A$14:$G$84,6,)</f>
        <v>401050</v>
      </c>
      <c r="G75" s="30">
        <f t="shared" si="3"/>
        <v>9565042.5</v>
      </c>
      <c r="H75" s="130">
        <f t="shared" si="7"/>
        <v>2.7755264982202238E-2</v>
      </c>
      <c r="I75" s="133"/>
      <c r="J75" s="316"/>
      <c r="K75" s="317"/>
      <c r="L75" s="319"/>
      <c r="M75" s="317"/>
      <c r="N75" s="367"/>
    </row>
    <row r="76" spans="1:14" ht="15.75" customHeight="1" thickBot="1" x14ac:dyDescent="0.35">
      <c r="A76" s="612"/>
      <c r="B76" s="601"/>
      <c r="C76" s="601"/>
      <c r="D76" s="601"/>
      <c r="E76" s="601"/>
      <c r="F76" s="601"/>
      <c r="G76" s="601"/>
      <c r="H76" s="601"/>
      <c r="I76" s="601"/>
      <c r="J76" s="601"/>
      <c r="K76" s="601"/>
      <c r="L76" s="601"/>
      <c r="M76" s="602"/>
      <c r="N76" s="369"/>
    </row>
    <row r="77" spans="1:14" ht="14.4" customHeight="1" x14ac:dyDescent="0.3">
      <c r="A77" s="603" t="s">
        <v>94</v>
      </c>
      <c r="B77" s="604"/>
      <c r="C77" s="604"/>
      <c r="D77" s="604"/>
      <c r="E77" s="604"/>
      <c r="F77" s="604"/>
      <c r="G77" s="355">
        <f>SUM(G16:G76)</f>
        <v>344620831.62</v>
      </c>
      <c r="H77" s="148">
        <f>SUM(H16:H75)</f>
        <v>0.99999999999999989</v>
      </c>
    </row>
    <row r="78" spans="1:14" x14ac:dyDescent="0.3">
      <c r="A78" s="605" t="s">
        <v>95</v>
      </c>
      <c r="B78" s="606"/>
      <c r="C78" s="606"/>
      <c r="D78" s="606"/>
      <c r="E78" s="606"/>
      <c r="F78" s="135">
        <v>0.28000000000000003</v>
      </c>
      <c r="G78" s="136">
        <f>ROUND((F78*G$77),2)</f>
        <v>96493832.849999994</v>
      </c>
      <c r="H78" s="149">
        <f>G78/G$77</f>
        <v>0.27999999998955372</v>
      </c>
    </row>
    <row r="79" spans="1:14" x14ac:dyDescent="0.3">
      <c r="A79" s="605" t="s">
        <v>21</v>
      </c>
      <c r="B79" s="606"/>
      <c r="C79" s="606"/>
      <c r="D79" s="606"/>
      <c r="E79" s="606"/>
      <c r="F79" s="135">
        <v>0.01</v>
      </c>
      <c r="G79" s="136">
        <f>ROUND((F79*G$77),2)</f>
        <v>3446208.32</v>
      </c>
      <c r="H79" s="149">
        <f>G79/G$77</f>
        <v>1.000000001102661E-2</v>
      </c>
    </row>
    <row r="80" spans="1:14" x14ac:dyDescent="0.3">
      <c r="A80" s="605" t="s">
        <v>22</v>
      </c>
      <c r="B80" s="606"/>
      <c r="C80" s="606"/>
      <c r="D80" s="606"/>
      <c r="E80" s="606"/>
      <c r="F80" s="135">
        <v>0.03</v>
      </c>
      <c r="G80" s="136">
        <f>ROUND((F80*G$77),2)</f>
        <v>10338624.949999999</v>
      </c>
      <c r="H80" s="149">
        <f>G80/G$77</f>
        <v>3.0000000004062433E-2</v>
      </c>
    </row>
    <row r="81" spans="1:21" ht="14.4" customHeight="1" x14ac:dyDescent="0.3">
      <c r="A81" s="595" t="s">
        <v>96</v>
      </c>
      <c r="B81" s="596"/>
      <c r="C81" s="596"/>
      <c r="D81" s="596"/>
      <c r="E81" s="596"/>
      <c r="F81" s="596"/>
      <c r="G81" s="139">
        <f>SUM(G78:G80)</f>
        <v>110278666.11999999</v>
      </c>
      <c r="H81" s="150">
        <f>SUM(H78:H80)</f>
        <v>0.32000000000464279</v>
      </c>
    </row>
    <row r="82" spans="1:21" ht="15.05" customHeight="1" thickBot="1" x14ac:dyDescent="0.35">
      <c r="A82" s="610" t="s">
        <v>24</v>
      </c>
      <c r="B82" s="611"/>
      <c r="C82" s="611"/>
      <c r="D82" s="611"/>
      <c r="E82" s="611"/>
      <c r="F82" s="611"/>
      <c r="G82" s="151">
        <f>G81+G77</f>
        <v>454899497.74000001</v>
      </c>
      <c r="H82" s="152">
        <f>G81/G77</f>
        <v>0.32000000000464274</v>
      </c>
    </row>
    <row r="83" spans="1:21" x14ac:dyDescent="0.3">
      <c r="A83" s="142"/>
      <c r="B83" s="142"/>
      <c r="C83" s="142"/>
      <c r="D83" s="142"/>
      <c r="E83" s="142"/>
      <c r="F83" s="142"/>
      <c r="G83" s="142"/>
      <c r="H83" s="142"/>
    </row>
    <row r="84" spans="1:21" x14ac:dyDescent="0.3">
      <c r="A84" s="142"/>
      <c r="B84" s="142"/>
      <c r="C84" s="142"/>
      <c r="D84" s="142"/>
      <c r="E84" s="142"/>
      <c r="F84" s="142"/>
      <c r="G84" s="142"/>
      <c r="H84" s="142"/>
    </row>
    <row r="85" spans="1:21" x14ac:dyDescent="0.3">
      <c r="A85" s="142"/>
      <c r="B85" s="142"/>
      <c r="C85" s="142"/>
      <c r="D85" s="142"/>
      <c r="E85" s="142"/>
      <c r="F85" s="142"/>
      <c r="G85" s="142"/>
      <c r="H85" s="142"/>
    </row>
    <row r="86" spans="1:21" x14ac:dyDescent="0.3">
      <c r="A86" s="142"/>
      <c r="B86" s="142"/>
      <c r="C86" s="142"/>
      <c r="D86" s="142"/>
      <c r="E86" s="142"/>
      <c r="F86" s="142"/>
      <c r="G86" s="142"/>
      <c r="H86" s="142"/>
    </row>
    <row r="87" spans="1:21" x14ac:dyDescent="0.3">
      <c r="A87" s="142"/>
      <c r="B87" s="142"/>
      <c r="C87" s="142"/>
      <c r="D87" s="142"/>
      <c r="E87" s="142" t="s">
        <v>98</v>
      </c>
      <c r="F87" s="142"/>
      <c r="G87" s="142"/>
      <c r="H87" s="142"/>
    </row>
    <row r="88" spans="1:21" ht="15.05" x14ac:dyDescent="0.3">
      <c r="B88" s="45" t="s">
        <v>25</v>
      </c>
      <c r="C88" s="45"/>
      <c r="D88" s="45"/>
      <c r="E88" s="49" t="s">
        <v>27</v>
      </c>
      <c r="F88" s="50"/>
      <c r="G88" s="50"/>
      <c r="H88" s="34"/>
      <c r="I88" s="34"/>
      <c r="J88" s="34"/>
      <c r="K88" s="23"/>
      <c r="M88" s="23"/>
      <c r="U88" s="4"/>
    </row>
    <row r="89" spans="1:21" ht="15.05" x14ac:dyDescent="0.3">
      <c r="B89" s="49" t="s">
        <v>26</v>
      </c>
      <c r="C89" s="50"/>
      <c r="D89" s="51"/>
      <c r="E89" s="50" t="s">
        <v>29</v>
      </c>
      <c r="F89" s="50"/>
      <c r="G89" s="50"/>
      <c r="H89" s="34"/>
      <c r="I89" s="34"/>
      <c r="J89" s="34"/>
      <c r="K89" s="23"/>
      <c r="M89" s="23"/>
      <c r="U89" s="4"/>
    </row>
    <row r="90" spans="1:21" ht="15.05" x14ac:dyDescent="0.3">
      <c r="A90" s="51"/>
      <c r="B90" s="50" t="s">
        <v>28</v>
      </c>
      <c r="C90" s="51"/>
      <c r="D90" s="51"/>
      <c r="E90" s="50" t="s">
        <v>30</v>
      </c>
      <c r="F90" s="50"/>
      <c r="G90" s="50"/>
      <c r="H90" s="34"/>
      <c r="I90" s="34"/>
      <c r="J90" s="34"/>
      <c r="K90" s="23"/>
      <c r="M90" s="23"/>
      <c r="U90" s="4"/>
    </row>
  </sheetData>
  <mergeCells count="87">
    <mergeCell ref="K7:L7"/>
    <mergeCell ref="M7:N7"/>
    <mergeCell ref="A8:N9"/>
    <mergeCell ref="A1:B6"/>
    <mergeCell ref="C1:I2"/>
    <mergeCell ref="J1:K1"/>
    <mergeCell ref="M1:N6"/>
    <mergeCell ref="J2:K3"/>
    <mergeCell ref="L2:L3"/>
    <mergeCell ref="C3:I3"/>
    <mergeCell ref="C4:I4"/>
    <mergeCell ref="J4:K4"/>
    <mergeCell ref="C5:I6"/>
    <mergeCell ref="J5:K6"/>
    <mergeCell ref="A11:N11"/>
    <mergeCell ref="B24:G24"/>
    <mergeCell ref="B13:C13"/>
    <mergeCell ref="B14:C14"/>
    <mergeCell ref="B15:G15"/>
    <mergeCell ref="B16:C16"/>
    <mergeCell ref="B17:C17"/>
    <mergeCell ref="B18:C18"/>
    <mergeCell ref="B19:C19"/>
    <mergeCell ref="B20:C20"/>
    <mergeCell ref="B21:C21"/>
    <mergeCell ref="B22:C22"/>
    <mergeCell ref="B23:C23"/>
    <mergeCell ref="I12:L12"/>
    <mergeCell ref="M12:N12"/>
    <mergeCell ref="B36:C36"/>
    <mergeCell ref="B25:C25"/>
    <mergeCell ref="B26:C26"/>
    <mergeCell ref="B27:G27"/>
    <mergeCell ref="B28:C28"/>
    <mergeCell ref="B29:C29"/>
    <mergeCell ref="B30:C30"/>
    <mergeCell ref="B31:C31"/>
    <mergeCell ref="B32:C32"/>
    <mergeCell ref="B33:C33"/>
    <mergeCell ref="B34:G34"/>
    <mergeCell ref="B35:C35"/>
    <mergeCell ref="B48:C48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60:C60"/>
    <mergeCell ref="B49:C49"/>
    <mergeCell ref="B50:C50"/>
    <mergeCell ref="B51:C51"/>
    <mergeCell ref="B52:C52"/>
    <mergeCell ref="B53:G53"/>
    <mergeCell ref="B54:C54"/>
    <mergeCell ref="B55:C55"/>
    <mergeCell ref="B56:C56"/>
    <mergeCell ref="B57:G57"/>
    <mergeCell ref="B58:C58"/>
    <mergeCell ref="B59:C59"/>
    <mergeCell ref="B72:C72"/>
    <mergeCell ref="B61:C61"/>
    <mergeCell ref="B62:C62"/>
    <mergeCell ref="B63:C63"/>
    <mergeCell ref="B64:C64"/>
    <mergeCell ref="B65:C65"/>
    <mergeCell ref="B66:C66"/>
    <mergeCell ref="B67:G67"/>
    <mergeCell ref="B68:C68"/>
    <mergeCell ref="B69:C69"/>
    <mergeCell ref="B70:C70"/>
    <mergeCell ref="B71:C71"/>
    <mergeCell ref="A79:E79"/>
    <mergeCell ref="A80:E80"/>
    <mergeCell ref="A81:F81"/>
    <mergeCell ref="A82:F82"/>
    <mergeCell ref="B73:C73"/>
    <mergeCell ref="B74:C74"/>
    <mergeCell ref="B75:C75"/>
    <mergeCell ref="A76:M76"/>
    <mergeCell ref="A77:F77"/>
    <mergeCell ref="A78:E78"/>
  </mergeCells>
  <pageMargins left="1.45" right="0.7" top="0.75" bottom="0.75" header="0.3" footer="0.3"/>
  <pageSetup scale="52" fitToHeight="0" orientation="landscape" horizontalDpi="360" verticalDpi="360" r:id="rId1"/>
  <rowBreaks count="1" manualBreakCount="1">
    <brk id="33" max="1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45"/>
  <sheetViews>
    <sheetView showGridLines="0" view="pageBreakPreview" topLeftCell="A13" zoomScaleNormal="100" zoomScaleSheetLayoutView="100" workbookViewId="0">
      <selection activeCell="F26" sqref="F26"/>
    </sheetView>
  </sheetViews>
  <sheetFormatPr baseColWidth="10" defaultColWidth="11.44140625" defaultRowHeight="15.05" x14ac:dyDescent="0.3"/>
  <cols>
    <col min="1" max="1" width="11.109375" style="54" customWidth="1"/>
    <col min="2" max="2" width="9.5546875" style="45" customWidth="1"/>
    <col min="3" max="3" width="9.88671875" style="45" customWidth="1"/>
    <col min="4" max="4" width="35.6640625" style="45" customWidth="1"/>
    <col min="5" max="5" width="18.109375" style="45" customWidth="1"/>
    <col min="6" max="6" width="11.33203125" style="163" bestFit="1" customWidth="1"/>
    <col min="7" max="7" width="21.6640625" style="163" customWidth="1"/>
    <col min="8" max="16384" width="11.44140625" style="54"/>
  </cols>
  <sheetData>
    <row r="1" spans="2:9" ht="19.649999999999999" customHeight="1" x14ac:dyDescent="0.3">
      <c r="B1" s="613"/>
      <c r="C1" s="614"/>
      <c r="D1" s="616" t="s">
        <v>2</v>
      </c>
      <c r="E1" s="153" t="s">
        <v>3</v>
      </c>
      <c r="F1" s="121">
        <v>103</v>
      </c>
      <c r="G1" s="617"/>
    </row>
    <row r="2" spans="2:9" ht="16.55" customHeight="1" x14ac:dyDescent="0.3">
      <c r="B2" s="615"/>
      <c r="C2" s="379"/>
      <c r="D2" s="381"/>
      <c r="E2" s="154" t="s">
        <v>4</v>
      </c>
      <c r="F2" s="400">
        <v>51</v>
      </c>
      <c r="G2" s="618"/>
    </row>
    <row r="3" spans="2:9" ht="27.65" customHeight="1" x14ac:dyDescent="0.3">
      <c r="B3" s="615"/>
      <c r="C3" s="379"/>
      <c r="D3" s="5" t="s">
        <v>5</v>
      </c>
      <c r="E3" s="155"/>
      <c r="F3" s="401"/>
      <c r="G3" s="618"/>
    </row>
    <row r="4" spans="2:9" ht="16.55" customHeight="1" x14ac:dyDescent="0.3">
      <c r="B4" s="615"/>
      <c r="C4" s="379"/>
      <c r="D4" s="6" t="s">
        <v>6</v>
      </c>
      <c r="E4" s="156" t="s">
        <v>7</v>
      </c>
      <c r="F4" s="7">
        <v>1</v>
      </c>
      <c r="G4" s="618"/>
    </row>
    <row r="5" spans="2:9" s="159" customFormat="1" ht="16.55" customHeight="1" x14ac:dyDescent="0.3">
      <c r="B5" s="615"/>
      <c r="C5" s="379"/>
      <c r="D5" s="404" t="s">
        <v>8</v>
      </c>
      <c r="E5" s="157" t="s">
        <v>9</v>
      </c>
      <c r="F5" s="5" t="s">
        <v>10</v>
      </c>
      <c r="G5" s="618"/>
      <c r="H5" s="158"/>
    </row>
    <row r="6" spans="2:9" s="159" customFormat="1" x14ac:dyDescent="0.3">
      <c r="B6" s="615"/>
      <c r="C6" s="379"/>
      <c r="D6" s="404"/>
      <c r="E6" s="143"/>
      <c r="F6" s="8">
        <v>44216</v>
      </c>
      <c r="G6" s="618"/>
      <c r="H6" s="158"/>
    </row>
    <row r="7" spans="2:9" s="159" customFormat="1" ht="16.55" customHeight="1" thickBot="1" x14ac:dyDescent="0.35">
      <c r="B7" s="160"/>
      <c r="C7" s="9"/>
      <c r="D7" s="9"/>
      <c r="E7" s="9"/>
      <c r="F7" s="9"/>
      <c r="G7" s="161"/>
      <c r="H7" s="10"/>
      <c r="I7" s="158"/>
    </row>
    <row r="8" spans="2:9" s="159" customFormat="1" ht="18.649999999999999" customHeight="1" x14ac:dyDescent="0.3">
      <c r="B8" s="619" t="str">
        <f>PRESUPUESTO!A8</f>
        <v>AMPLIACIÓN DE MÓDULOS HABITACIONALES Y ÁREAS COMPLEMENTARIAS PARA CENTRO DE BIENESTAR EL BUEN SAMARITANO Y CENTRO DÍA DE PUERTO COLÓN DEL MUNICIPIO DE SAN MIGUEL, PUTUMAYO.</v>
      </c>
      <c r="C8" s="620"/>
      <c r="D8" s="620"/>
      <c r="E8" s="620"/>
      <c r="F8" s="620"/>
      <c r="G8" s="621"/>
      <c r="H8"/>
      <c r="I8" s="158"/>
    </row>
    <row r="9" spans="2:9" s="159" customFormat="1" ht="18.649999999999999" customHeight="1" thickBot="1" x14ac:dyDescent="0.35">
      <c r="B9" s="622"/>
      <c r="C9" s="623"/>
      <c r="D9" s="623"/>
      <c r="E9" s="623"/>
      <c r="F9" s="623"/>
      <c r="G9" s="624"/>
      <c r="H9"/>
      <c r="I9" s="158"/>
    </row>
    <row r="10" spans="2:9" x14ac:dyDescent="0.3">
      <c r="B10" s="162"/>
      <c r="G10" s="164"/>
    </row>
    <row r="11" spans="2:9" x14ac:dyDescent="0.3">
      <c r="B11" s="625" t="s">
        <v>99</v>
      </c>
      <c r="C11" s="626"/>
      <c r="D11" s="626"/>
      <c r="E11" s="626"/>
      <c r="F11" s="627"/>
      <c r="G11" s="165" t="s">
        <v>63</v>
      </c>
    </row>
    <row r="12" spans="2:9" x14ac:dyDescent="0.3">
      <c r="B12" s="166" t="s">
        <v>100</v>
      </c>
      <c r="C12" s="63"/>
      <c r="D12" s="628" t="s">
        <v>101</v>
      </c>
      <c r="E12" s="629"/>
      <c r="F12" s="167"/>
      <c r="G12" s="168">
        <v>100</v>
      </c>
    </row>
    <row r="13" spans="2:9" x14ac:dyDescent="0.3">
      <c r="B13" s="166" t="s">
        <v>102</v>
      </c>
      <c r="C13" s="63"/>
      <c r="D13" s="628" t="s">
        <v>103</v>
      </c>
      <c r="E13" s="629"/>
      <c r="F13" s="167"/>
      <c r="G13" s="168">
        <f>SUM(G14:G29)</f>
        <v>75.432000000000002</v>
      </c>
    </row>
    <row r="14" spans="2:9" x14ac:dyDescent="0.3">
      <c r="B14" s="166"/>
      <c r="C14" s="63" t="s">
        <v>104</v>
      </c>
      <c r="D14" s="542" t="s">
        <v>105</v>
      </c>
      <c r="E14" s="543"/>
      <c r="F14" s="75" t="s">
        <v>106</v>
      </c>
      <c r="G14" s="168">
        <v>8.33</v>
      </c>
    </row>
    <row r="15" spans="2:9" x14ac:dyDescent="0.3">
      <c r="B15" s="166"/>
      <c r="C15" s="63" t="s">
        <v>107</v>
      </c>
      <c r="D15" s="542" t="s">
        <v>108</v>
      </c>
      <c r="E15" s="543"/>
      <c r="F15" s="75" t="s">
        <v>109</v>
      </c>
      <c r="G15" s="168">
        <v>1</v>
      </c>
    </row>
    <row r="16" spans="2:9" x14ac:dyDescent="0.3">
      <c r="B16" s="166"/>
      <c r="C16" s="63" t="s">
        <v>110</v>
      </c>
      <c r="D16" s="542" t="s">
        <v>111</v>
      </c>
      <c r="E16" s="543"/>
      <c r="F16" s="75" t="s">
        <v>106</v>
      </c>
      <c r="G16" s="168">
        <v>8.33</v>
      </c>
    </row>
    <row r="17" spans="2:7" x14ac:dyDescent="0.3">
      <c r="B17" s="166"/>
      <c r="C17" s="63" t="s">
        <v>112</v>
      </c>
      <c r="D17" s="542" t="s">
        <v>113</v>
      </c>
      <c r="E17" s="543"/>
      <c r="F17" s="169" t="s">
        <v>114</v>
      </c>
      <c r="G17" s="168">
        <v>4</v>
      </c>
    </row>
    <row r="18" spans="2:7" x14ac:dyDescent="0.3">
      <c r="B18" s="166"/>
      <c r="C18" s="63" t="s">
        <v>115</v>
      </c>
      <c r="D18" s="542" t="s">
        <v>116</v>
      </c>
      <c r="E18" s="543"/>
      <c r="F18" s="169" t="s">
        <v>114</v>
      </c>
      <c r="G18" s="168">
        <v>2</v>
      </c>
    </row>
    <row r="19" spans="2:7" x14ac:dyDescent="0.3">
      <c r="B19" s="166"/>
      <c r="C19" s="63" t="s">
        <v>117</v>
      </c>
      <c r="D19" s="542" t="s">
        <v>118</v>
      </c>
      <c r="E19" s="543"/>
      <c r="F19" s="169" t="s">
        <v>114</v>
      </c>
      <c r="G19" s="168">
        <v>3</v>
      </c>
    </row>
    <row r="20" spans="2:7" x14ac:dyDescent="0.3">
      <c r="B20" s="166"/>
      <c r="C20" s="63" t="s">
        <v>119</v>
      </c>
      <c r="D20" s="542" t="s">
        <v>120</v>
      </c>
      <c r="E20" s="543"/>
      <c r="F20" s="169" t="s">
        <v>114</v>
      </c>
      <c r="G20" s="168">
        <v>8.5</v>
      </c>
    </row>
    <row r="21" spans="2:7" x14ac:dyDescent="0.3">
      <c r="B21" s="166"/>
      <c r="C21" s="63" t="s">
        <v>121</v>
      </c>
      <c r="D21" s="542" t="s">
        <v>122</v>
      </c>
      <c r="E21" s="543"/>
      <c r="F21" s="169" t="s">
        <v>114</v>
      </c>
      <c r="G21" s="168">
        <v>12</v>
      </c>
    </row>
    <row r="22" spans="2:7" x14ac:dyDescent="0.3">
      <c r="B22" s="166"/>
      <c r="C22" s="63" t="s">
        <v>123</v>
      </c>
      <c r="D22" s="542" t="s">
        <v>124</v>
      </c>
      <c r="E22" s="543"/>
      <c r="F22" s="169" t="s">
        <v>114</v>
      </c>
      <c r="G22" s="168">
        <v>6.96</v>
      </c>
    </row>
    <row r="23" spans="2:7" x14ac:dyDescent="0.3">
      <c r="B23" s="166"/>
      <c r="C23" s="63" t="s">
        <v>125</v>
      </c>
      <c r="D23" s="542" t="s">
        <v>126</v>
      </c>
      <c r="E23" s="543"/>
      <c r="F23" s="169" t="s">
        <v>114</v>
      </c>
      <c r="G23" s="168">
        <v>0.52200000000000002</v>
      </c>
    </row>
    <row r="24" spans="2:7" x14ac:dyDescent="0.3">
      <c r="B24" s="166"/>
      <c r="C24" s="63" t="s">
        <v>127</v>
      </c>
      <c r="D24" s="542" t="s">
        <v>128</v>
      </c>
      <c r="E24" s="543"/>
      <c r="F24" s="75" t="s">
        <v>129</v>
      </c>
      <c r="G24" s="168">
        <v>4.17</v>
      </c>
    </row>
    <row r="25" spans="2:7" x14ac:dyDescent="0.3">
      <c r="B25" s="166"/>
      <c r="C25" s="63" t="s">
        <v>130</v>
      </c>
      <c r="D25" s="630" t="s">
        <v>131</v>
      </c>
      <c r="E25" s="631"/>
      <c r="F25" s="170" t="s">
        <v>132</v>
      </c>
      <c r="G25" s="171">
        <v>0.83</v>
      </c>
    </row>
    <row r="26" spans="2:7" x14ac:dyDescent="0.3">
      <c r="B26" s="166"/>
      <c r="C26" s="63" t="s">
        <v>133</v>
      </c>
      <c r="D26" s="542" t="s">
        <v>626</v>
      </c>
      <c r="E26" s="543"/>
      <c r="F26" s="169" t="s">
        <v>114</v>
      </c>
      <c r="G26" s="168">
        <v>11.71</v>
      </c>
    </row>
    <row r="27" spans="2:7" x14ac:dyDescent="0.3">
      <c r="B27" s="166"/>
      <c r="C27" s="63" t="s">
        <v>134</v>
      </c>
      <c r="D27" s="630" t="s">
        <v>135</v>
      </c>
      <c r="E27" s="631"/>
      <c r="F27" s="172" t="s">
        <v>114</v>
      </c>
      <c r="G27" s="171">
        <v>0.08</v>
      </c>
    </row>
    <row r="28" spans="2:7" x14ac:dyDescent="0.3">
      <c r="B28" s="166"/>
      <c r="C28" s="63" t="s">
        <v>136</v>
      </c>
      <c r="D28" s="630" t="s">
        <v>137</v>
      </c>
      <c r="E28" s="631"/>
      <c r="F28" s="172" t="s">
        <v>114</v>
      </c>
      <c r="G28" s="171">
        <v>2</v>
      </c>
    </row>
    <row r="29" spans="2:7" x14ac:dyDescent="0.3">
      <c r="B29" s="166"/>
      <c r="C29" s="63" t="s">
        <v>138</v>
      </c>
      <c r="D29" s="542" t="s">
        <v>139</v>
      </c>
      <c r="E29" s="543"/>
      <c r="F29" s="172" t="s">
        <v>114</v>
      </c>
      <c r="G29" s="168">
        <v>2</v>
      </c>
    </row>
    <row r="30" spans="2:7" x14ac:dyDescent="0.3">
      <c r="B30" s="166" t="s">
        <v>140</v>
      </c>
      <c r="C30" s="63"/>
      <c r="D30" s="628" t="s">
        <v>141</v>
      </c>
      <c r="E30" s="629"/>
      <c r="F30" s="75"/>
      <c r="G30" s="173">
        <f>G12+G13</f>
        <v>175.43200000000002</v>
      </c>
    </row>
    <row r="31" spans="2:7" x14ac:dyDescent="0.3">
      <c r="B31" s="166"/>
      <c r="C31" s="63"/>
      <c r="D31" s="628"/>
      <c r="E31" s="629"/>
      <c r="F31" s="75"/>
      <c r="G31" s="168"/>
    </row>
    <row r="32" spans="2:7" x14ac:dyDescent="0.3">
      <c r="B32" s="166" t="s">
        <v>142</v>
      </c>
      <c r="C32" s="63"/>
      <c r="D32" s="628" t="s">
        <v>143</v>
      </c>
      <c r="E32" s="629"/>
      <c r="F32" s="75"/>
      <c r="G32" s="168">
        <f>G30</f>
        <v>175.43200000000002</v>
      </c>
    </row>
    <row r="33" spans="1:20" ht="15.75" thickBot="1" x14ac:dyDescent="0.35">
      <c r="B33" s="174"/>
      <c r="C33" s="175"/>
      <c r="D33" s="633" t="s">
        <v>144</v>
      </c>
      <c r="E33" s="634"/>
      <c r="F33" s="176"/>
      <c r="G33" s="177">
        <f>ROUND(G32/100,2)</f>
        <v>1.75</v>
      </c>
    </row>
    <row r="34" spans="1:20" x14ac:dyDescent="0.3">
      <c r="B34" s="178"/>
      <c r="C34" s="179"/>
      <c r="D34" s="179"/>
      <c r="E34" s="180"/>
      <c r="F34" s="181"/>
      <c r="G34" s="182"/>
    </row>
    <row r="35" spans="1:20" x14ac:dyDescent="0.3">
      <c r="B35" s="162"/>
      <c r="G35" s="164"/>
    </row>
    <row r="36" spans="1:20" x14ac:dyDescent="0.3">
      <c r="B36" s="162"/>
      <c r="G36" s="164"/>
    </row>
    <row r="37" spans="1:20" x14ac:dyDescent="0.3">
      <c r="B37" s="162"/>
      <c r="G37" s="164"/>
    </row>
    <row r="38" spans="1:20" s="3" customFormat="1" x14ac:dyDescent="0.3">
      <c r="B38" s="183"/>
      <c r="C38" s="45"/>
      <c r="D38" s="45"/>
      <c r="E38" s="46"/>
      <c r="F38" s="47"/>
      <c r="G38" s="184"/>
      <c r="H38" s="34"/>
      <c r="I38" s="34"/>
      <c r="J38" s="23"/>
      <c r="K38" s="23"/>
      <c r="T38" s="4"/>
    </row>
    <row r="39" spans="1:20" s="3" customFormat="1" x14ac:dyDescent="0.3">
      <c r="B39" s="162" t="s">
        <v>25</v>
      </c>
      <c r="C39" s="45"/>
      <c r="D39" s="45"/>
      <c r="E39" s="49" t="s">
        <v>27</v>
      </c>
      <c r="F39" s="50"/>
      <c r="G39" s="185"/>
      <c r="H39" s="34"/>
      <c r="I39" s="34"/>
      <c r="J39" s="23"/>
      <c r="K39" s="23"/>
      <c r="T39" s="4"/>
    </row>
    <row r="40" spans="1:20" s="3" customFormat="1" x14ac:dyDescent="0.3">
      <c r="B40" s="186" t="s">
        <v>26</v>
      </c>
      <c r="C40" s="50"/>
      <c r="D40" s="51"/>
      <c r="E40" s="50" t="s">
        <v>29</v>
      </c>
      <c r="F40" s="50"/>
      <c r="G40" s="185"/>
      <c r="H40" s="34"/>
      <c r="I40" s="34"/>
      <c r="J40" s="23"/>
      <c r="K40" s="23"/>
      <c r="T40" s="4"/>
    </row>
    <row r="41" spans="1:20" s="3" customFormat="1" ht="15.75" thickBot="1" x14ac:dyDescent="0.35">
      <c r="A41" s="51"/>
      <c r="B41" s="187" t="s">
        <v>28</v>
      </c>
      <c r="C41" s="188"/>
      <c r="D41" s="188"/>
      <c r="E41" s="189" t="s">
        <v>30</v>
      </c>
      <c r="F41" s="189"/>
      <c r="G41" s="190"/>
      <c r="H41" s="34"/>
      <c r="I41" s="34"/>
      <c r="J41" s="23"/>
      <c r="K41" s="23"/>
      <c r="T41" s="4"/>
    </row>
    <row r="44" spans="1:20" x14ac:dyDescent="0.3">
      <c r="B44" s="635"/>
      <c r="C44" s="635"/>
      <c r="D44" s="635"/>
    </row>
    <row r="45" spans="1:20" x14ac:dyDescent="0.3">
      <c r="B45" s="632"/>
      <c r="C45" s="632"/>
      <c r="D45" s="632"/>
    </row>
  </sheetData>
  <mergeCells count="31">
    <mergeCell ref="B45:D45"/>
    <mergeCell ref="D29:E29"/>
    <mergeCell ref="D30:E30"/>
    <mergeCell ref="D31:E31"/>
    <mergeCell ref="D32:E32"/>
    <mergeCell ref="D33:E33"/>
    <mergeCell ref="B44:D44"/>
    <mergeCell ref="D28:E28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16:E16"/>
    <mergeCell ref="B1:C6"/>
    <mergeCell ref="D1:D2"/>
    <mergeCell ref="G1:G6"/>
    <mergeCell ref="F2:F3"/>
    <mergeCell ref="D5:D6"/>
    <mergeCell ref="B8:G9"/>
    <mergeCell ref="B11:F11"/>
    <mergeCell ref="D12:E12"/>
    <mergeCell ref="D13:E13"/>
    <mergeCell ref="D14:E14"/>
    <mergeCell ref="D15:E15"/>
  </mergeCells>
  <printOptions horizontalCentered="1" verticalCentered="1" gridLinesSet="0"/>
  <pageMargins left="7.874015748031496E-2" right="7.874015748031496E-2" top="0.74803149606299213" bottom="0.74803149606299213" header="0.31496062992125984" footer="0.31496062992125984"/>
  <pageSetup scale="82" fitToHeight="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63"/>
  <sheetViews>
    <sheetView view="pageBreakPreview" topLeftCell="A37" zoomScale="90" zoomScaleNormal="100" zoomScaleSheetLayoutView="90" workbookViewId="0">
      <selection activeCell="G64" sqref="G64"/>
    </sheetView>
  </sheetViews>
  <sheetFormatPr baseColWidth="10" defaultColWidth="11.44140625" defaultRowHeight="14.4" x14ac:dyDescent="0.3"/>
  <cols>
    <col min="1" max="1" width="22.5546875" style="205" customWidth="1"/>
    <col min="2" max="2" width="22.33203125" style="205" customWidth="1"/>
    <col min="3" max="4" width="18.88671875" style="205" customWidth="1"/>
    <col min="5" max="5" width="18.88671875" style="206" customWidth="1"/>
    <col min="6" max="7" width="18.88671875" style="205" customWidth="1"/>
    <col min="8" max="8" width="19.33203125" style="194" customWidth="1"/>
    <col min="9" max="9" width="12.44140625" style="194" bestFit="1" customWidth="1"/>
    <col min="10" max="10" width="12.5546875" style="194" bestFit="1" customWidth="1"/>
    <col min="11" max="11" width="11.44140625" style="194"/>
    <col min="12" max="12" width="13.44140625" style="194" bestFit="1" customWidth="1"/>
    <col min="13" max="16384" width="11.44140625" style="194"/>
  </cols>
  <sheetData>
    <row r="1" spans="1:7" x14ac:dyDescent="0.3">
      <c r="A1" s="642"/>
      <c r="B1" s="645" t="s">
        <v>145</v>
      </c>
      <c r="C1" s="646"/>
      <c r="D1" s="191" t="s">
        <v>146</v>
      </c>
      <c r="E1" s="192">
        <v>103</v>
      </c>
      <c r="F1" s="649"/>
      <c r="G1" s="193"/>
    </row>
    <row r="2" spans="1:7" x14ac:dyDescent="0.3">
      <c r="A2" s="643"/>
      <c r="B2" s="647"/>
      <c r="C2" s="648"/>
      <c r="D2" s="652" t="s">
        <v>4</v>
      </c>
      <c r="E2" s="654">
        <v>51</v>
      </c>
      <c r="F2" s="650"/>
      <c r="G2" s="193"/>
    </row>
    <row r="3" spans="1:7" x14ac:dyDescent="0.3">
      <c r="A3" s="643"/>
      <c r="B3" s="656" t="s">
        <v>5</v>
      </c>
      <c r="C3" s="657"/>
      <c r="D3" s="653"/>
      <c r="E3" s="655"/>
      <c r="F3" s="650"/>
      <c r="G3" s="193"/>
    </row>
    <row r="4" spans="1:7" x14ac:dyDescent="0.3">
      <c r="A4" s="643"/>
      <c r="B4" s="658" t="s">
        <v>6</v>
      </c>
      <c r="C4" s="659"/>
      <c r="D4" s="195" t="s">
        <v>7</v>
      </c>
      <c r="E4" s="196">
        <v>1</v>
      </c>
      <c r="F4" s="650"/>
      <c r="G4" s="193"/>
    </row>
    <row r="5" spans="1:7" x14ac:dyDescent="0.3">
      <c r="A5" s="643"/>
      <c r="B5" s="660" t="s">
        <v>8</v>
      </c>
      <c r="C5" s="661"/>
      <c r="D5" s="652" t="s">
        <v>9</v>
      </c>
      <c r="E5" s="196" t="s">
        <v>10</v>
      </c>
      <c r="F5" s="650"/>
      <c r="G5" s="193"/>
    </row>
    <row r="6" spans="1:7" x14ac:dyDescent="0.3">
      <c r="A6" s="644"/>
      <c r="B6" s="662"/>
      <c r="C6" s="663"/>
      <c r="D6" s="653"/>
      <c r="E6" s="197">
        <f>[12]PRESUPUESTO!F6</f>
        <v>45402</v>
      </c>
      <c r="F6" s="651"/>
      <c r="G6" s="193"/>
    </row>
    <row r="7" spans="1:7" ht="15.05" thickBot="1" x14ac:dyDescent="0.35">
      <c r="A7" s="198"/>
      <c r="B7" s="199"/>
      <c r="C7" s="199"/>
      <c r="D7" s="199"/>
      <c r="E7" s="200"/>
      <c r="F7" s="201"/>
      <c r="G7" s="199"/>
    </row>
    <row r="8" spans="1:7" x14ac:dyDescent="0.3">
      <c r="A8" s="619" t="str">
        <f>PRESUPUESTO!A8</f>
        <v>AMPLIACIÓN DE MÓDULOS HABITACIONALES Y ÁREAS COMPLEMENTARIAS PARA CENTRO DE BIENESTAR EL BUEN SAMARITANO Y CENTRO DÍA DE PUERTO COLÓN DEL MUNICIPIO DE SAN MIGUEL, PUTUMAYO.</v>
      </c>
      <c r="B8" s="620"/>
      <c r="C8" s="620"/>
      <c r="D8" s="620"/>
      <c r="E8" s="620"/>
      <c r="F8" s="621"/>
      <c r="G8" s="202"/>
    </row>
    <row r="9" spans="1:7" ht="15.05" thickBot="1" x14ac:dyDescent="0.35">
      <c r="A9" s="622"/>
      <c r="B9" s="623"/>
      <c r="C9" s="623"/>
      <c r="D9" s="623"/>
      <c r="E9" s="623"/>
      <c r="F9" s="624"/>
      <c r="G9" s="202"/>
    </row>
    <row r="10" spans="1:7" ht="15.05" thickBot="1" x14ac:dyDescent="0.35">
      <c r="A10" s="664" t="s">
        <v>176</v>
      </c>
      <c r="B10" s="665"/>
      <c r="C10" s="665"/>
      <c r="D10" s="665"/>
      <c r="E10" s="665"/>
      <c r="F10" s="666"/>
      <c r="G10" s="203"/>
    </row>
    <row r="11" spans="1:7" x14ac:dyDescent="0.3">
      <c r="A11" s="204"/>
      <c r="F11" s="207"/>
    </row>
    <row r="12" spans="1:7" x14ac:dyDescent="0.3">
      <c r="A12" s="667" t="s">
        <v>147</v>
      </c>
      <c r="B12" s="668"/>
      <c r="C12" s="668"/>
      <c r="D12" s="668"/>
      <c r="E12" s="668"/>
      <c r="F12" s="669"/>
      <c r="G12" s="208"/>
    </row>
    <row r="13" spans="1:7" x14ac:dyDescent="0.3">
      <c r="A13" s="209" t="s">
        <v>148</v>
      </c>
      <c r="B13" s="210" t="s">
        <v>149</v>
      </c>
      <c r="C13" s="656" t="s">
        <v>150</v>
      </c>
      <c r="D13" s="657"/>
      <c r="E13" s="656" t="s">
        <v>151</v>
      </c>
      <c r="F13" s="670"/>
      <c r="G13" s="211"/>
    </row>
    <row r="14" spans="1:7" x14ac:dyDescent="0.3">
      <c r="A14" s="212" t="s">
        <v>627</v>
      </c>
      <c r="B14" s="213">
        <v>4600000</v>
      </c>
      <c r="C14" s="636">
        <f>'F.M '!$G$33</f>
        <v>1.75</v>
      </c>
      <c r="D14" s="637"/>
      <c r="E14" s="638">
        <f>B14*C14</f>
        <v>8050000</v>
      </c>
      <c r="F14" s="639"/>
      <c r="G14" s="214"/>
    </row>
    <row r="15" spans="1:7" x14ac:dyDescent="0.3">
      <c r="A15" s="212" t="s">
        <v>628</v>
      </c>
      <c r="B15" s="213">
        <v>3800000</v>
      </c>
      <c r="C15" s="636">
        <f>'F.M '!$G$33</f>
        <v>1.75</v>
      </c>
      <c r="D15" s="637"/>
      <c r="E15" s="638">
        <f>B15*C15</f>
        <v>6650000</v>
      </c>
      <c r="F15" s="639"/>
      <c r="G15" s="214"/>
    </row>
    <row r="16" spans="1:7" x14ac:dyDescent="0.3">
      <c r="A16" s="212" t="s">
        <v>629</v>
      </c>
      <c r="B16" s="213">
        <v>3200000</v>
      </c>
      <c r="C16" s="636">
        <f>'F.M '!$G$33</f>
        <v>1.75</v>
      </c>
      <c r="D16" s="637"/>
      <c r="E16" s="638">
        <f>B16*C16</f>
        <v>5600000</v>
      </c>
      <c r="F16" s="639"/>
      <c r="G16" s="214"/>
    </row>
    <row r="17" spans="1:7" x14ac:dyDescent="0.3">
      <c r="A17" s="212" t="s">
        <v>632</v>
      </c>
      <c r="B17" s="213">
        <v>3200000</v>
      </c>
      <c r="C17" s="636">
        <f>'F.M '!$G$33</f>
        <v>1.75</v>
      </c>
      <c r="D17" s="637"/>
      <c r="E17" s="638">
        <f>B17*C17</f>
        <v>5600000</v>
      </c>
      <c r="F17" s="639"/>
      <c r="G17" s="214"/>
    </row>
    <row r="18" spans="1:7" x14ac:dyDescent="0.3">
      <c r="A18" s="671" t="s">
        <v>152</v>
      </c>
      <c r="B18" s="672"/>
      <c r="C18" s="672"/>
      <c r="D18" s="672"/>
      <c r="E18" s="672"/>
      <c r="F18" s="673"/>
      <c r="G18" s="215"/>
    </row>
    <row r="19" spans="1:7" ht="43.2" x14ac:dyDescent="0.3">
      <c r="A19" s="216" t="s">
        <v>153</v>
      </c>
      <c r="B19" s="217" t="s">
        <v>151</v>
      </c>
      <c r="C19" s="217" t="s">
        <v>154</v>
      </c>
      <c r="D19" s="217" t="s">
        <v>155</v>
      </c>
      <c r="E19" s="218" t="s">
        <v>156</v>
      </c>
      <c r="F19" s="219" t="s">
        <v>157</v>
      </c>
      <c r="G19" s="220"/>
    </row>
    <row r="20" spans="1:7" x14ac:dyDescent="0.3">
      <c r="A20" s="221" t="str">
        <f>A14</f>
        <v>Ingeniero Civil</v>
      </c>
      <c r="B20" s="222">
        <f>E14</f>
        <v>8050000</v>
      </c>
      <c r="C20" s="223">
        <v>1</v>
      </c>
      <c r="D20" s="224">
        <v>1.5</v>
      </c>
      <c r="E20" s="225">
        <f>ROUND((B20*C20*D20),0)</f>
        <v>12075000</v>
      </c>
      <c r="F20" s="226">
        <f>E20/$E$53</f>
        <v>3.5038508679924009E-2</v>
      </c>
      <c r="G20" s="220"/>
    </row>
    <row r="21" spans="1:7" x14ac:dyDescent="0.3">
      <c r="A21" s="221" t="str">
        <f>A15</f>
        <v>Profesional SST</v>
      </c>
      <c r="B21" s="222">
        <f>E15</f>
        <v>6650000</v>
      </c>
      <c r="C21" s="223">
        <v>1</v>
      </c>
      <c r="D21" s="224">
        <v>1.5</v>
      </c>
      <c r="E21" s="225">
        <f>ROUND((B21*C21*D21),0)</f>
        <v>9975000</v>
      </c>
      <c r="F21" s="226">
        <f t="shared" ref="F21:F23" si="0">E21/$E$53</f>
        <v>2.8944854996458963E-2</v>
      </c>
      <c r="G21" s="220"/>
    </row>
    <row r="22" spans="1:7" x14ac:dyDescent="0.3">
      <c r="A22" s="221" t="str">
        <f>A16</f>
        <v>Profesional Social</v>
      </c>
      <c r="B22" s="222">
        <f>E16</f>
        <v>5600000</v>
      </c>
      <c r="C22" s="223">
        <v>1</v>
      </c>
      <c r="D22" s="224">
        <v>1.5</v>
      </c>
      <c r="E22" s="225">
        <f>ROUND((B22*C22*D22),0)</f>
        <v>8400000</v>
      </c>
      <c r="F22" s="226">
        <f t="shared" si="0"/>
        <v>2.437461473386018E-2</v>
      </c>
      <c r="G22" s="220"/>
    </row>
    <row r="23" spans="1:7" x14ac:dyDescent="0.3">
      <c r="A23" s="221" t="str">
        <f>A17</f>
        <v>Maestro General</v>
      </c>
      <c r="B23" s="222">
        <f>E17</f>
        <v>5600000</v>
      </c>
      <c r="C23" s="223">
        <v>1</v>
      </c>
      <c r="D23" s="224">
        <v>1.5</v>
      </c>
      <c r="E23" s="225">
        <f>ROUND((B23*C23*D23),0)</f>
        <v>8400000</v>
      </c>
      <c r="F23" s="226">
        <f t="shared" si="0"/>
        <v>2.437461473386018E-2</v>
      </c>
      <c r="G23" s="220"/>
    </row>
    <row r="24" spans="1:7" x14ac:dyDescent="0.3">
      <c r="A24" s="674" t="s">
        <v>158</v>
      </c>
      <c r="B24" s="675"/>
      <c r="C24" s="676"/>
      <c r="D24" s="677"/>
      <c r="E24" s="227"/>
      <c r="F24" s="228"/>
      <c r="G24" s="220"/>
    </row>
    <row r="25" spans="1:7" ht="15.05" customHeight="1" x14ac:dyDescent="0.3">
      <c r="A25" s="640" t="s">
        <v>159</v>
      </c>
      <c r="B25" s="641"/>
      <c r="C25" s="229"/>
      <c r="D25" s="229"/>
      <c r="E25" s="230">
        <v>766845.61555166775</v>
      </c>
      <c r="F25" s="231">
        <f>E25/$E$53</f>
        <v>2.2251864808835427E-3</v>
      </c>
      <c r="G25" s="220"/>
    </row>
    <row r="26" spans="1:7" x14ac:dyDescent="0.3">
      <c r="A26" s="640" t="s">
        <v>630</v>
      </c>
      <c r="B26" s="641"/>
      <c r="C26" s="229"/>
      <c r="D26" s="229"/>
      <c r="E26" s="230">
        <v>1200000</v>
      </c>
      <c r="F26" s="231">
        <f>E26/$E$53</f>
        <v>3.4820878191228828E-3</v>
      </c>
      <c r="G26" s="220"/>
    </row>
    <row r="27" spans="1:7" x14ac:dyDescent="0.3">
      <c r="A27" s="640" t="s">
        <v>631</v>
      </c>
      <c r="B27" s="641"/>
      <c r="C27" s="229"/>
      <c r="D27" s="229"/>
      <c r="E27" s="230">
        <v>1500000</v>
      </c>
      <c r="F27" s="231">
        <f>E27/$E$53</f>
        <v>4.352609773903603E-3</v>
      </c>
      <c r="G27" s="220"/>
    </row>
    <row r="28" spans="1:7" x14ac:dyDescent="0.3">
      <c r="A28" s="678" t="s">
        <v>160</v>
      </c>
      <c r="B28" s="679"/>
      <c r="C28" s="232"/>
      <c r="D28" s="229"/>
      <c r="E28" s="225"/>
      <c r="F28" s="233"/>
      <c r="G28" s="220"/>
    </row>
    <row r="29" spans="1:7" x14ac:dyDescent="0.3">
      <c r="A29" s="680" t="s">
        <v>161</v>
      </c>
      <c r="B29" s="681"/>
      <c r="C29" s="229"/>
      <c r="D29" s="229"/>
      <c r="E29" s="234">
        <v>250000</v>
      </c>
      <c r="F29" s="235">
        <f>E29/E53</f>
        <v>7.2543496231726727E-4</v>
      </c>
      <c r="G29" s="220"/>
    </row>
    <row r="30" spans="1:7" x14ac:dyDescent="0.3">
      <c r="A30" s="680" t="s">
        <v>162</v>
      </c>
      <c r="B30" s="681"/>
      <c r="C30" s="229"/>
      <c r="D30" s="224">
        <v>1.5</v>
      </c>
      <c r="E30" s="234">
        <v>1200000</v>
      </c>
      <c r="F30" s="235">
        <f>E30*D30/E53</f>
        <v>5.2231317286843245E-3</v>
      </c>
      <c r="G30" s="220"/>
    </row>
    <row r="31" spans="1:7" x14ac:dyDescent="0.3">
      <c r="A31" s="680"/>
      <c r="B31" s="681"/>
      <c r="C31" s="229"/>
      <c r="D31" s="229"/>
      <c r="E31" s="234"/>
      <c r="F31" s="235">
        <f>E31/E53</f>
        <v>0</v>
      </c>
      <c r="G31" s="220"/>
    </row>
    <row r="32" spans="1:7" x14ac:dyDescent="0.3">
      <c r="A32" s="682" t="s">
        <v>163</v>
      </c>
      <c r="B32" s="683"/>
      <c r="C32" s="229"/>
      <c r="D32" s="229"/>
      <c r="E32" s="225"/>
      <c r="F32" s="236"/>
      <c r="G32" s="220"/>
    </row>
    <row r="33" spans="1:8" x14ac:dyDescent="0.3">
      <c r="A33" s="680" t="s">
        <v>164</v>
      </c>
      <c r="B33" s="681"/>
      <c r="C33" s="229"/>
      <c r="D33" s="229"/>
      <c r="E33" s="237">
        <f>E53*F33</f>
        <v>52726987.237860002</v>
      </c>
      <c r="F33" s="238">
        <v>0.153</v>
      </c>
      <c r="G33" s="220"/>
    </row>
    <row r="34" spans="1:8" ht="15.05" x14ac:dyDescent="0.3">
      <c r="A34" s="684" t="s">
        <v>165</v>
      </c>
      <c r="B34" s="685"/>
      <c r="C34" s="685"/>
      <c r="D34" s="686"/>
      <c r="E34" s="239">
        <f>ROUND(SUM(E20:E33),2)</f>
        <v>96493832.849999994</v>
      </c>
      <c r="F34" s="256">
        <f>E34/E53</f>
        <v>0.27999999998955372</v>
      </c>
      <c r="G34" s="38">
        <v>96493832.849999994</v>
      </c>
      <c r="H34" s="240">
        <f>G34-E34</f>
        <v>0</v>
      </c>
    </row>
    <row r="35" spans="1:8" x14ac:dyDescent="0.3">
      <c r="A35" s="241"/>
      <c r="B35" s="242"/>
      <c r="C35" s="242"/>
      <c r="D35" s="242"/>
      <c r="E35" s="243"/>
      <c r="F35" s="244"/>
      <c r="G35" s="220"/>
    </row>
    <row r="36" spans="1:8" x14ac:dyDescent="0.3">
      <c r="A36" s="671" t="s">
        <v>166</v>
      </c>
      <c r="B36" s="672"/>
      <c r="C36" s="672"/>
      <c r="D36" s="672"/>
      <c r="E36" s="672"/>
      <c r="F36" s="673"/>
      <c r="G36" s="220"/>
    </row>
    <row r="37" spans="1:8" x14ac:dyDescent="0.3">
      <c r="A37" s="689" t="s">
        <v>91</v>
      </c>
      <c r="B37" s="657"/>
      <c r="C37" s="245"/>
      <c r="D37" s="676" t="s">
        <v>156</v>
      </c>
      <c r="E37" s="677"/>
      <c r="F37" s="246" t="s">
        <v>167</v>
      </c>
      <c r="G37" s="220"/>
    </row>
    <row r="38" spans="1:8" x14ac:dyDescent="0.3">
      <c r="A38" s="690" t="s">
        <v>21</v>
      </c>
      <c r="B38" s="691"/>
      <c r="C38" s="229"/>
      <c r="D38" s="692">
        <f>F38*E53</f>
        <v>3446208.3162000002</v>
      </c>
      <c r="E38" s="693"/>
      <c r="F38" s="247">
        <v>0.01</v>
      </c>
      <c r="G38" s="220"/>
    </row>
    <row r="39" spans="1:8" x14ac:dyDescent="0.3">
      <c r="A39" s="684" t="s">
        <v>168</v>
      </c>
      <c r="B39" s="685"/>
      <c r="C39" s="686"/>
      <c r="D39" s="687">
        <f>ROUND(D38,2)</f>
        <v>3446208.32</v>
      </c>
      <c r="E39" s="688"/>
      <c r="F39" s="248">
        <f>SUM(F38)</f>
        <v>0.01</v>
      </c>
      <c r="G39" s="220"/>
    </row>
    <row r="40" spans="1:8" x14ac:dyDescent="0.3">
      <c r="A40" s="241"/>
      <c r="B40" s="242"/>
      <c r="C40" s="242"/>
      <c r="D40" s="242"/>
      <c r="E40" s="243"/>
      <c r="F40" s="244"/>
      <c r="G40" s="220"/>
    </row>
    <row r="41" spans="1:8" x14ac:dyDescent="0.3">
      <c r="A41" s="671" t="s">
        <v>169</v>
      </c>
      <c r="B41" s="672"/>
      <c r="C41" s="672"/>
      <c r="D41" s="672"/>
      <c r="E41" s="672"/>
      <c r="F41" s="673"/>
      <c r="G41" s="220"/>
    </row>
    <row r="42" spans="1:8" x14ac:dyDescent="0.3">
      <c r="A42" s="689" t="s">
        <v>91</v>
      </c>
      <c r="B42" s="657"/>
      <c r="C42" s="245"/>
      <c r="D42" s="676" t="s">
        <v>156</v>
      </c>
      <c r="E42" s="677"/>
      <c r="F42" s="246" t="s">
        <v>167</v>
      </c>
      <c r="G42" s="220"/>
    </row>
    <row r="43" spans="1:8" x14ac:dyDescent="0.3">
      <c r="A43" s="690" t="s">
        <v>22</v>
      </c>
      <c r="B43" s="691"/>
      <c r="C43" s="229"/>
      <c r="D43" s="692">
        <f>F43*E53</f>
        <v>10338624.9486</v>
      </c>
      <c r="E43" s="693"/>
      <c r="F43" s="247">
        <v>0.03</v>
      </c>
      <c r="G43" s="220"/>
    </row>
    <row r="44" spans="1:8" x14ac:dyDescent="0.3">
      <c r="A44" s="684" t="s">
        <v>168</v>
      </c>
      <c r="B44" s="685"/>
      <c r="C44" s="686"/>
      <c r="D44" s="687">
        <f>ROUND(D43,2)</f>
        <v>10338624.949999999</v>
      </c>
      <c r="E44" s="688"/>
      <c r="F44" s="248">
        <f>SUM(F43)</f>
        <v>0.03</v>
      </c>
      <c r="G44" s="220"/>
    </row>
    <row r="45" spans="1:8" x14ac:dyDescent="0.3">
      <c r="A45" s="241"/>
      <c r="B45" s="242"/>
      <c r="C45" s="242"/>
      <c r="D45" s="249"/>
      <c r="E45" s="249"/>
      <c r="F45" s="250"/>
      <c r="G45" s="220"/>
    </row>
    <row r="46" spans="1:8" x14ac:dyDescent="0.3">
      <c r="A46" s="671" t="s">
        <v>170</v>
      </c>
      <c r="B46" s="672"/>
      <c r="C46" s="672"/>
      <c r="D46" s="672"/>
      <c r="E46" s="672"/>
      <c r="F46" s="673"/>
      <c r="G46" s="220"/>
    </row>
    <row r="47" spans="1:8" x14ac:dyDescent="0.3">
      <c r="A47" s="682" t="s">
        <v>171</v>
      </c>
      <c r="B47" s="694"/>
      <c r="C47" s="694"/>
      <c r="D47" s="694"/>
      <c r="E47" s="694"/>
      <c r="F47" s="695"/>
      <c r="G47" s="220"/>
    </row>
    <row r="48" spans="1:8" x14ac:dyDescent="0.3">
      <c r="A48" s="689" t="s">
        <v>91</v>
      </c>
      <c r="B48" s="657"/>
      <c r="C48" s="245"/>
      <c r="D48" s="676" t="s">
        <v>156</v>
      </c>
      <c r="E48" s="677"/>
      <c r="F48" s="246" t="s">
        <v>167</v>
      </c>
      <c r="G48" s="199"/>
    </row>
    <row r="49" spans="1:20" x14ac:dyDescent="0.3">
      <c r="A49" s="690" t="s">
        <v>172</v>
      </c>
      <c r="B49" s="691"/>
      <c r="C49" s="229"/>
      <c r="D49" s="692">
        <f>+F49*E53</f>
        <v>96493832.849999994</v>
      </c>
      <c r="E49" s="693"/>
      <c r="F49" s="251">
        <f>F34</f>
        <v>0.27999999998955372</v>
      </c>
      <c r="G49" s="252">
        <v>8113869.6100000003</v>
      </c>
      <c r="H49" s="253">
        <f>J49-I49</f>
        <v>-88379963.239999995</v>
      </c>
      <c r="I49" s="254">
        <f>D49</f>
        <v>96493832.849999994</v>
      </c>
      <c r="J49" s="253">
        <f>[12]PRESUPUESTO!G37</f>
        <v>8113869.6100000003</v>
      </c>
    </row>
    <row r="50" spans="1:20" x14ac:dyDescent="0.3">
      <c r="A50" s="690" t="s">
        <v>21</v>
      </c>
      <c r="B50" s="691"/>
      <c r="C50" s="229"/>
      <c r="D50" s="692">
        <f>F50*E53</f>
        <v>3446208.3162000002</v>
      </c>
      <c r="E50" s="693"/>
      <c r="F50" s="251">
        <f>F39</f>
        <v>0.01</v>
      </c>
      <c r="G50" s="252">
        <v>601027.38</v>
      </c>
      <c r="H50" s="240">
        <f t="shared" ref="H50:H51" si="1">J50-I50</f>
        <v>-2845180.9362000003</v>
      </c>
      <c r="I50" s="254">
        <f>D50</f>
        <v>3446208.3162000002</v>
      </c>
      <c r="J50" s="253">
        <f>[12]PRESUPUESTO!G38</f>
        <v>601027.38</v>
      </c>
    </row>
    <row r="51" spans="1:20" x14ac:dyDescent="0.3">
      <c r="A51" s="690" t="s">
        <v>22</v>
      </c>
      <c r="B51" s="691"/>
      <c r="C51" s="229"/>
      <c r="D51" s="692">
        <f>F51*E53</f>
        <v>10338624.9486</v>
      </c>
      <c r="E51" s="693"/>
      <c r="F51" s="247">
        <f>F44</f>
        <v>0.03</v>
      </c>
      <c r="G51" s="252">
        <v>901541.07</v>
      </c>
      <c r="H51" s="240">
        <f t="shared" si="1"/>
        <v>-9437083.8785999995</v>
      </c>
      <c r="I51" s="254">
        <f>D51</f>
        <v>10338624.9486</v>
      </c>
      <c r="J51" s="253">
        <f>[12]PRESUPUESTO!G39</f>
        <v>901541.07</v>
      </c>
    </row>
    <row r="52" spans="1:20" x14ac:dyDescent="0.3">
      <c r="A52" s="696" t="s">
        <v>1</v>
      </c>
      <c r="B52" s="697"/>
      <c r="C52" s="698"/>
      <c r="D52" s="687">
        <f>SUM(D49:E51)</f>
        <v>110278666.11479999</v>
      </c>
      <c r="E52" s="688"/>
      <c r="F52" s="262">
        <f>D52/E53</f>
        <v>0.3199999999895537</v>
      </c>
      <c r="G52" s="255"/>
    </row>
    <row r="53" spans="1:20" x14ac:dyDescent="0.3">
      <c r="A53" s="700" t="s">
        <v>173</v>
      </c>
      <c r="B53" s="701"/>
      <c r="C53" s="701"/>
      <c r="D53" s="702"/>
      <c r="E53" s="703">
        <f>PRESUPUESTO!G83</f>
        <v>344620831.62</v>
      </c>
      <c r="F53" s="704"/>
      <c r="G53" s="255"/>
    </row>
    <row r="54" spans="1:20" x14ac:dyDescent="0.3">
      <c r="A54" s="700" t="s">
        <v>190</v>
      </c>
      <c r="B54" s="701"/>
      <c r="C54" s="701"/>
      <c r="D54" s="702"/>
      <c r="E54" s="705">
        <f>+D52</f>
        <v>110278666.11479999</v>
      </c>
      <c r="F54" s="706"/>
      <c r="G54" s="255"/>
    </row>
    <row r="55" spans="1:20" ht="15.05" thickBot="1" x14ac:dyDescent="0.35">
      <c r="A55" s="707" t="s">
        <v>174</v>
      </c>
      <c r="B55" s="708"/>
      <c r="C55" s="708"/>
      <c r="D55" s="709"/>
      <c r="E55" s="710">
        <f>+E53+E54+0.01</f>
        <v>454899497.74479997</v>
      </c>
      <c r="F55" s="711"/>
      <c r="G55" s="255"/>
    </row>
    <row r="56" spans="1:20" x14ac:dyDescent="0.3">
      <c r="G56" s="255"/>
    </row>
    <row r="59" spans="1:20" x14ac:dyDescent="0.3">
      <c r="D59" s="205" t="s">
        <v>175</v>
      </c>
    </row>
    <row r="60" spans="1:20" s="3" customFormat="1" ht="15.05" x14ac:dyDescent="0.3">
      <c r="A60" s="45" t="s">
        <v>25</v>
      </c>
      <c r="C60" s="45"/>
      <c r="D60" s="49" t="s">
        <v>27</v>
      </c>
      <c r="E60" s="49"/>
      <c r="F60" s="50"/>
      <c r="G60" s="50"/>
      <c r="H60" s="34"/>
      <c r="I60" s="34"/>
      <c r="J60" s="23"/>
      <c r="K60" s="23"/>
      <c r="T60" s="4"/>
    </row>
    <row r="61" spans="1:20" s="3" customFormat="1" ht="15.05" x14ac:dyDescent="0.3">
      <c r="A61" s="49" t="s">
        <v>26</v>
      </c>
      <c r="C61" s="50"/>
      <c r="D61" s="50" t="s">
        <v>29</v>
      </c>
      <c r="E61" s="50"/>
      <c r="F61" s="50"/>
      <c r="G61" s="50"/>
      <c r="H61" s="34"/>
      <c r="I61" s="34"/>
      <c r="J61" s="23"/>
      <c r="K61" s="23"/>
      <c r="T61" s="4"/>
    </row>
    <row r="62" spans="1:20" s="3" customFormat="1" ht="15.05" x14ac:dyDescent="0.3">
      <c r="A62" s="50" t="s">
        <v>28</v>
      </c>
      <c r="C62" s="51"/>
      <c r="D62" s="50" t="s">
        <v>30</v>
      </c>
      <c r="E62" s="50"/>
      <c r="F62" s="50"/>
      <c r="G62" s="50"/>
      <c r="H62" s="34"/>
      <c r="I62" s="34"/>
      <c r="J62" s="23"/>
      <c r="K62" s="23"/>
      <c r="T62" s="4"/>
    </row>
    <row r="63" spans="1:20" x14ac:dyDescent="0.3">
      <c r="A63" s="699"/>
      <c r="B63" s="699"/>
      <c r="C63" s="699"/>
      <c r="D63" s="699"/>
      <c r="E63" s="699"/>
      <c r="F63" s="699"/>
      <c r="G63" s="193"/>
    </row>
  </sheetData>
  <mergeCells count="68">
    <mergeCell ref="A63:F63"/>
    <mergeCell ref="A53:D53"/>
    <mergeCell ref="E53:F53"/>
    <mergeCell ref="A54:D54"/>
    <mergeCell ref="E54:F54"/>
    <mergeCell ref="A55:D55"/>
    <mergeCell ref="E55:F55"/>
    <mergeCell ref="A50:B50"/>
    <mergeCell ref="D50:E50"/>
    <mergeCell ref="A51:B51"/>
    <mergeCell ref="D51:E51"/>
    <mergeCell ref="A52:C52"/>
    <mergeCell ref="D52:E52"/>
    <mergeCell ref="A46:F46"/>
    <mergeCell ref="A47:F47"/>
    <mergeCell ref="A48:B48"/>
    <mergeCell ref="D48:E48"/>
    <mergeCell ref="A49:B49"/>
    <mergeCell ref="D49:E49"/>
    <mergeCell ref="A44:C44"/>
    <mergeCell ref="D44:E44"/>
    <mergeCell ref="A37:B37"/>
    <mergeCell ref="D37:E37"/>
    <mergeCell ref="A38:B38"/>
    <mergeCell ref="D38:E38"/>
    <mergeCell ref="A39:C39"/>
    <mergeCell ref="D39:E39"/>
    <mergeCell ref="A41:F41"/>
    <mergeCell ref="A42:B42"/>
    <mergeCell ref="D42:E42"/>
    <mergeCell ref="A43:B43"/>
    <mergeCell ref="D43:E43"/>
    <mergeCell ref="A36:F36"/>
    <mergeCell ref="A18:F18"/>
    <mergeCell ref="A24:B24"/>
    <mergeCell ref="C24:D24"/>
    <mergeCell ref="A25:B25"/>
    <mergeCell ref="A28:B28"/>
    <mergeCell ref="A29:B29"/>
    <mergeCell ref="A30:B30"/>
    <mergeCell ref="A31:B31"/>
    <mergeCell ref="A32:B32"/>
    <mergeCell ref="A33:B33"/>
    <mergeCell ref="A34:D34"/>
    <mergeCell ref="A27:B27"/>
    <mergeCell ref="C14:D14"/>
    <mergeCell ref="E14:F14"/>
    <mergeCell ref="A1:A6"/>
    <mergeCell ref="B1:C2"/>
    <mergeCell ref="F1:F6"/>
    <mergeCell ref="D2:D3"/>
    <mergeCell ref="E2:E3"/>
    <mergeCell ref="B3:C3"/>
    <mergeCell ref="B4:C4"/>
    <mergeCell ref="B5:C6"/>
    <mergeCell ref="D5:D6"/>
    <mergeCell ref="A8:F9"/>
    <mergeCell ref="A10:F10"/>
    <mergeCell ref="A12:F12"/>
    <mergeCell ref="C13:D13"/>
    <mergeCell ref="E13:F13"/>
    <mergeCell ref="C15:D15"/>
    <mergeCell ref="E15:F15"/>
    <mergeCell ref="C16:D16"/>
    <mergeCell ref="E16:F16"/>
    <mergeCell ref="A26:B26"/>
    <mergeCell ref="C17:D17"/>
    <mergeCell ref="E17:F17"/>
  </mergeCells>
  <pageMargins left="0.7" right="0.7" top="0.75" bottom="0.75" header="0.3" footer="0.3"/>
  <pageSetup scale="75" fitToHeight="0" orientation="portrait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PRESUPUESTO</vt:lpstr>
      <vt:lpstr>MEMORIA CANTIDADES</vt:lpstr>
      <vt:lpstr>APUS</vt:lpstr>
      <vt:lpstr>FLUJO DE INVERSION </vt:lpstr>
      <vt:lpstr>CRONOGRAMA</vt:lpstr>
      <vt:lpstr>F.M </vt:lpstr>
      <vt:lpstr>DESGLOSE AIU</vt:lpstr>
      <vt:lpstr>APUS!Área_de_impresión</vt:lpstr>
      <vt:lpstr>CRONOGRAMA!Área_de_impresión</vt:lpstr>
      <vt:lpstr>'DESGLOSE AIU'!Área_de_impresión</vt:lpstr>
      <vt:lpstr>'F.M '!Área_de_impresión</vt:lpstr>
      <vt:lpstr>'FLUJO DE INVERSION '!Área_de_impresión</vt:lpstr>
      <vt:lpstr>'MEMORIA CANTIDADES'!Área_de_impresión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Buesaquillo</dc:creator>
  <cp:lastModifiedBy>Jeisson Buesaquillo</cp:lastModifiedBy>
  <cp:lastPrinted>2026-07-30T22:58:01Z</cp:lastPrinted>
  <dcterms:created xsi:type="dcterms:W3CDTF">2015-06-05T18:19:34Z</dcterms:created>
  <dcterms:modified xsi:type="dcterms:W3CDTF">2026-09-29T14:39:39Z</dcterms:modified>
</cp:coreProperties>
</file>