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D:\IVONNE\Documents\IDRD\CONTRATOS SUBDIRECCIÓN DE CONTRATACIÓN\SUBDIRECCION TECNICA DE RECREACION Y DEPORTE\2026\2. MTNMT BIOMEDICOS\5. PLIEGO DEFINITIVO BIOMEDICOS\"/>
    </mc:Choice>
  </mc:AlternateContent>
  <xr:revisionPtr revIDLastSave="0" documentId="8_{E90C6449-1CBD-4C96-92B9-40FC9DCAD496}" xr6:coauthVersionLast="47" xr6:coauthVersionMax="47" xr10:uidLastSave="{00000000-0000-0000-0000-000000000000}"/>
  <bookViews>
    <workbookView xWindow="-120" yWindow="-120" windowWidth="20730" windowHeight="11040" xr2:uid="{42011FA3-2C04-47D6-8D3B-EBD78F234BDA}"/>
  </bookViews>
  <sheets>
    <sheet name="Estudio de mercado" sheetId="1" r:id="rId1"/>
    <sheet name="Presupuesto Oficial"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C11" i="3" l="1"/>
  <c r="C7" i="3"/>
  <c r="B14" i="3"/>
  <c r="B9" i="3"/>
  <c r="F17" i="1" l="1"/>
  <c r="H6" i="1"/>
  <c r="F6" i="1"/>
  <c r="H2" i="1"/>
  <c r="O26" i="1"/>
  <c r="O7" i="1"/>
  <c r="O8" i="1"/>
  <c r="O9" i="1"/>
  <c r="O10" i="1"/>
  <c r="O11" i="1"/>
  <c r="O12" i="1"/>
  <c r="O13" i="1"/>
  <c r="O14" i="1"/>
  <c r="O15" i="1"/>
  <c r="O16" i="1"/>
  <c r="O30" i="1"/>
  <c r="N30" i="1"/>
  <c r="M30" i="1"/>
  <c r="L30" i="1"/>
  <c r="P30" i="1" s="1"/>
  <c r="Q30" i="1" s="1"/>
  <c r="K30" i="1"/>
  <c r="H7" i="1"/>
  <c r="H8" i="1"/>
  <c r="H9" i="1"/>
  <c r="H10" i="1"/>
  <c r="H11" i="1"/>
  <c r="H12" i="1"/>
  <c r="H13" i="1"/>
  <c r="H14" i="1"/>
  <c r="H15" i="1"/>
  <c r="H16" i="1"/>
  <c r="H17" i="1"/>
  <c r="H18" i="1"/>
  <c r="H19" i="1"/>
  <c r="H20" i="1"/>
  <c r="H21" i="1"/>
  <c r="H22" i="1"/>
  <c r="H23" i="1"/>
  <c r="H24" i="1"/>
  <c r="H25" i="1"/>
  <c r="H26" i="1"/>
  <c r="H27" i="1"/>
  <c r="H28" i="1"/>
  <c r="H29" i="1"/>
  <c r="F7" i="1"/>
  <c r="F8" i="1"/>
  <c r="F9" i="1"/>
  <c r="F10" i="1"/>
  <c r="F11" i="1"/>
  <c r="F12" i="1"/>
  <c r="F13" i="1"/>
  <c r="F14" i="1"/>
  <c r="F15" i="1"/>
  <c r="F16" i="1"/>
  <c r="F18" i="1"/>
  <c r="F19" i="1"/>
  <c r="F22" i="1"/>
  <c r="F23" i="1"/>
  <c r="F24" i="1"/>
  <c r="F25" i="1"/>
  <c r="F26" i="1"/>
  <c r="H3" i="1"/>
  <c r="O17" i="1"/>
  <c r="O18" i="1"/>
  <c r="O19" i="1"/>
  <c r="O20" i="1"/>
  <c r="O21" i="1"/>
  <c r="O22" i="1"/>
  <c r="O23" i="1"/>
  <c r="O24" i="1"/>
  <c r="O25" i="1"/>
  <c r="O27" i="1"/>
  <c r="O28" i="1"/>
  <c r="O29" i="1"/>
  <c r="O6" i="1"/>
  <c r="N20" i="1" l="1"/>
  <c r="M20" i="1"/>
  <c r="N21" i="1"/>
  <c r="M21" i="1"/>
  <c r="M27" i="1"/>
  <c r="N27" i="1"/>
  <c r="M28" i="1"/>
  <c r="N28" i="1"/>
  <c r="M29" i="1"/>
  <c r="N29" i="1"/>
  <c r="N7" i="1"/>
  <c r="M7" i="1"/>
  <c r="N8" i="1"/>
  <c r="M8" i="1"/>
  <c r="N9" i="1"/>
  <c r="M9" i="1"/>
  <c r="N10" i="1"/>
  <c r="M10" i="1"/>
  <c r="N11" i="1"/>
  <c r="M11" i="1"/>
  <c r="N12" i="1"/>
  <c r="M12" i="1"/>
  <c r="N13" i="1"/>
  <c r="M13" i="1"/>
  <c r="N14" i="1"/>
  <c r="M14" i="1"/>
  <c r="N15" i="1"/>
  <c r="M15" i="1"/>
  <c r="N16" i="1"/>
  <c r="M16" i="1"/>
  <c r="N17" i="1"/>
  <c r="M17" i="1"/>
  <c r="M18" i="1"/>
  <c r="N18" i="1"/>
  <c r="M19" i="1"/>
  <c r="N19" i="1"/>
  <c r="N22" i="1"/>
  <c r="M22" i="1"/>
  <c r="M23" i="1"/>
  <c r="N23" i="1"/>
  <c r="M24" i="1"/>
  <c r="N24" i="1"/>
  <c r="M25" i="1"/>
  <c r="N25" i="1"/>
  <c r="N26" i="1"/>
  <c r="M26" i="1"/>
  <c r="N6" i="1"/>
  <c r="M6" i="1"/>
  <c r="L20" i="1"/>
  <c r="P20" i="1" s="1"/>
  <c r="Q20" i="1" s="1"/>
  <c r="K20" i="1"/>
  <c r="L21" i="1"/>
  <c r="P21" i="1" s="1"/>
  <c r="Q21" i="1" s="1"/>
  <c r="K21" i="1"/>
  <c r="L27" i="1"/>
  <c r="P27" i="1" s="1"/>
  <c r="Q27" i="1" s="1"/>
  <c r="K27" i="1"/>
  <c r="K28" i="1"/>
  <c r="L28" i="1"/>
  <c r="P28" i="1" s="1"/>
  <c r="Q28" i="1" s="1"/>
  <c r="L29" i="1"/>
  <c r="P29" i="1" s="1"/>
  <c r="Q29" i="1" s="1"/>
  <c r="K29" i="1"/>
  <c r="L7" i="1"/>
  <c r="K7" i="1"/>
  <c r="L8" i="1"/>
  <c r="P8" i="1" s="1"/>
  <c r="Q8" i="1" s="1"/>
  <c r="K8" i="1"/>
  <c r="L9" i="1"/>
  <c r="P9" i="1" s="1"/>
  <c r="Q9" i="1" s="1"/>
  <c r="K9" i="1"/>
  <c r="L10" i="1"/>
  <c r="P10" i="1" s="1"/>
  <c r="Q10" i="1" s="1"/>
  <c r="K10" i="1"/>
  <c r="L11" i="1"/>
  <c r="P11" i="1" s="1"/>
  <c r="Q11" i="1" s="1"/>
  <c r="K11" i="1"/>
  <c r="L12" i="1"/>
  <c r="P12" i="1" s="1"/>
  <c r="Q12" i="1" s="1"/>
  <c r="K12" i="1"/>
  <c r="K13" i="1"/>
  <c r="L13" i="1"/>
  <c r="P13" i="1" s="1"/>
  <c r="Q13" i="1" s="1"/>
  <c r="L14" i="1"/>
  <c r="P14" i="1" s="1"/>
  <c r="Q14" i="1" s="1"/>
  <c r="K14" i="1"/>
  <c r="L15" i="1"/>
  <c r="P15" i="1" s="1"/>
  <c r="Q15" i="1" s="1"/>
  <c r="K15" i="1"/>
  <c r="L16" i="1"/>
  <c r="P16" i="1" s="1"/>
  <c r="Q16" i="1" s="1"/>
  <c r="K16" i="1"/>
  <c r="L17" i="1"/>
  <c r="P17" i="1" s="1"/>
  <c r="Q17" i="1" s="1"/>
  <c r="K17" i="1"/>
  <c r="L18" i="1"/>
  <c r="P18" i="1" s="1"/>
  <c r="Q18" i="1" s="1"/>
  <c r="K18" i="1"/>
  <c r="L19" i="1"/>
  <c r="P19" i="1" s="1"/>
  <c r="Q19" i="1" s="1"/>
  <c r="K19" i="1"/>
  <c r="K22" i="1"/>
  <c r="L22" i="1"/>
  <c r="P22" i="1" s="1"/>
  <c r="Q22" i="1" s="1"/>
  <c r="L23" i="1"/>
  <c r="P23" i="1" s="1"/>
  <c r="Q23" i="1" s="1"/>
  <c r="K23" i="1"/>
  <c r="K24" i="1"/>
  <c r="L24" i="1"/>
  <c r="P24" i="1" s="1"/>
  <c r="Q24" i="1" s="1"/>
  <c r="L25" i="1"/>
  <c r="P25" i="1" s="1"/>
  <c r="Q25" i="1" s="1"/>
  <c r="K25" i="1"/>
  <c r="K26" i="1"/>
  <c r="L26" i="1"/>
  <c r="P26" i="1" s="1"/>
  <c r="Q26" i="1" s="1"/>
  <c r="K6" i="1"/>
  <c r="L6" i="1"/>
  <c r="P6" i="1" s="1"/>
  <c r="P7" i="1" l="1"/>
  <c r="P31" i="1" s="1"/>
  <c r="Q6" i="1"/>
  <c r="Q7" i="1" l="1"/>
  <c r="Q31" i="1" s="1"/>
  <c r="B2" i="3" s="1"/>
  <c r="B4" i="3" s="1"/>
  <c r="R31" i="1"/>
</calcChain>
</file>

<file path=xl/sharedStrings.xml><?xml version="1.0" encoding="utf-8"?>
<sst xmlns="http://schemas.openxmlformats.org/spreadsheetml/2006/main" count="88" uniqueCount="53">
  <si>
    <t>IPC 2024</t>
  </si>
  <si>
    <t>SMMLV 2025</t>
  </si>
  <si>
    <t>Indice IPC -SMMLV</t>
  </si>
  <si>
    <t>IPC 2025</t>
  </si>
  <si>
    <t>SMMLV 2026</t>
  </si>
  <si>
    <t>No.</t>
  </si>
  <si>
    <t>SERVICIO</t>
  </si>
  <si>
    <t>Ítem</t>
  </si>
  <si>
    <t>Cant.</t>
  </si>
  <si>
    <t>2024 indexado a 2026</t>
  </si>
  <si>
    <t>2025 indexado a 2026</t>
  </si>
  <si>
    <t>SYCO</t>
  </si>
  <si>
    <t>Cibermedical</t>
  </si>
  <si>
    <t>Media</t>
  </si>
  <si>
    <t>Mediana</t>
  </si>
  <si>
    <t>Media armónica</t>
  </si>
  <si>
    <t>Media geométrica</t>
  </si>
  <si>
    <t>Desv. est.</t>
  </si>
  <si>
    <t>P. TECHO IVA INCLUIDO (mediana)</t>
  </si>
  <si>
    <t>Total IVA INCLUIDO</t>
  </si>
  <si>
    <t>Mantenimiento Preventivo</t>
  </si>
  <si>
    <t>Báscula digital</t>
  </si>
  <si>
    <t>Fonendoscopio</t>
  </si>
  <si>
    <t>Glucómetro Accucheck Active</t>
  </si>
  <si>
    <t>Tensiómetro</t>
  </si>
  <si>
    <t>Termómetro digital</t>
  </si>
  <si>
    <t>Termómetro digital tipo pistola</t>
  </si>
  <si>
    <t>Linterna médica con medidor de pupila</t>
  </si>
  <si>
    <t>Oxímetro de pulso / pulsoxímetro con curva</t>
  </si>
  <si>
    <t>Reloj Garmin Vivosmart 5</t>
  </si>
  <si>
    <t>DEA Zoll AED Plus</t>
  </si>
  <si>
    <t>DEA Schiller Fred Easy Port</t>
  </si>
  <si>
    <t>DEA Philips FRx</t>
  </si>
  <si>
    <t>DEA Schiller Fred Easy</t>
  </si>
  <si>
    <t>DEA Mindray C2</t>
  </si>
  <si>
    <t>DEA Schiller Fred Easy Port Plus</t>
  </si>
  <si>
    <t>DEA Primedic HeartSave</t>
  </si>
  <si>
    <t xml:space="preserve">Calibración </t>
  </si>
  <si>
    <t>Actualización de Software y descarga de información</t>
  </si>
  <si>
    <t>No se tuvo en cuenta</t>
  </si>
  <si>
    <t>Componente</t>
  </si>
  <si>
    <t>Valor estimado IVA incluido</t>
  </si>
  <si>
    <t>Mantenimiento preventivo, calibración, actualización de software y descarga de información</t>
  </si>
  <si>
    <t>Bolsa de mantenimiento correctivo</t>
  </si>
  <si>
    <t>Presupuesto oficial estimado</t>
  </si>
  <si>
    <t>matenimiento y calibracion programa ciclovia</t>
  </si>
  <si>
    <t>Bolsa mantenimiento correctivo</t>
  </si>
  <si>
    <t>TOTAL</t>
  </si>
  <si>
    <t>matenimiento y calibracion programaSubdieccin T de Parques</t>
  </si>
  <si>
    <t xml:space="preserve">Inicialmente el proceso contaba con presupuesto oficial de $90.000.000, LA SUBDIRECCION Tecnica de Parques solicitó incluir $10.000.000 con destino a la bolsa de mantenimiento correctivo para atender necesidades de reparacion de los Desfibriladores </t>
  </si>
  <si>
    <t>La estimación de la bolsa de dinero  se fundamentó tanto en el análisis de la ejecución histórica de mantenimientos correctivos y reposición de repuestos durante las vigencias 2024 y 2025; así mismo, para la vigencia 2026 se proyecta un incremento en los recursos de la bolsa de dinero para atender necesidades  de mantenimiento correctivo asociadas al envejecimiento de la flota de Desfibriladores Externos Automáticos (DEA), condición que incrementa la probabilidad de fallas y la necesidad de reemplazar con mayor frecuencia componentes y partes críticas.</t>
  </si>
  <si>
    <t>Se alimina de conformidad con las observaciones acogidas  de proveedores externos</t>
  </si>
  <si>
    <t>El presupuesto de bolsa de dinero por valor de CUARENTA Y OCHO MILLONES SEISCIENTOS SESENTA Y SIETE MIL CIENTO OCHENTA Y SIETE PESOS M/CTE ($48.667.187) se estimó a partir del análisis de la ejecución histórica de mantenimientos correctivos y reposición de repuestos durante las vigencias 2024 y 2025. Así mismo, para la vigencia 2026 se proyecta un incremento en los recursos destinados a esta bolsa, con el fin de atender las necesidades de mantenimiento correctivo derivadas del envejecimiento de la flota de Desfibriladores Externos Automáticos (DEA), condición que aumenta la probabilidad de fallas y la necesidad de reemplazar con mayor frecuencia componentes y partes críticas. Este valor incluye integralmente los costos asociados a repuestos, transporte, mano de obra para mantenimiento correctivo, impuestos, gastos y descuentos a que haya lugar. Del valor total estimado para la bolsa de dinero, la suma de VEINTISÉIS MILLONES OCHOCIENTOS TREINTA Y UN MIL VEINTIÚN PESOS M/CTE ($26.831.021) corresponde a la Subdirección Técnica de Recreación y Deporte, y la suma de VEINTIÚN MILLONES OCHOCIENTOS TREINTA Y SEIS MIL CIENTO SESENTA Y SEIS PESOS M/CTE ($21.836.166) corresponde a la Subdirección Técnica de Parques.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</si>
</sst>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44" formatCode="_-&quot;$&quot;\ * #,##0.00_-;\-&quot;$&quot;\ * #,##0.00_-;_-&quot;$&quot;\ * &quot;-&quot;??_-;_-@_-"/>
  </numFmts>
  <fonts count="12" x14ac:knownFonts="1">
    <font>
      <sz val="11"/>
      <color theme="1"/>
      <name val="Aptos Narrow"/>
      <family val="2"/>
      <scheme val="minor"/>
    </font>
    <font>
      <b/>
      <sz val="11"/>
      <color theme="1"/>
      <name val="Aptos Narrow"/>
      <family val="2"/>
      <scheme val="minor"/>
    </font>
    <font>
      <b/>
      <sz val="11"/>
      <color theme="1"/>
      <name val="Arial"/>
      <family val="2"/>
    </font>
    <font>
      <sz val="11"/>
      <color theme="1"/>
      <name val="Arial"/>
      <family val="2"/>
    </font>
    <font>
      <sz val="11"/>
      <color theme="1"/>
      <name val="Aptos Narrow"/>
      <family val="2"/>
      <scheme val="minor"/>
    </font>
    <font>
      <b/>
      <sz val="9"/>
      <color theme="1"/>
      <name val="Arial"/>
      <family val="2"/>
    </font>
    <font>
      <sz val="9"/>
      <color theme="1"/>
      <name val="Arial"/>
      <family val="2"/>
    </font>
    <font>
      <sz val="8"/>
      <name val="Aptos Narrow"/>
      <family val="2"/>
      <scheme val="minor"/>
    </font>
    <font>
      <sz val="11"/>
      <color theme="0"/>
      <name val="Aptos Narrow"/>
      <family val="2"/>
      <scheme val="minor"/>
    </font>
    <font>
      <sz val="11"/>
      <color rgb="FF000000"/>
      <name val="Arial"/>
      <family val="2"/>
    </font>
    <font>
      <sz val="11"/>
      <color rgb="FFFF0000"/>
      <name val="Arial"/>
      <family val="2"/>
    </font>
    <font>
      <sz val="9"/>
      <color rgb="FFFF0000"/>
      <name val="Arial"/>
      <family val="2"/>
    </font>
  </fonts>
  <fills count="7">
    <fill>
      <patternFill patternType="none"/>
    </fill>
    <fill>
      <patternFill patternType="gray125"/>
    </fill>
    <fill>
      <patternFill patternType="solid">
        <fgColor rgb="FF92D050"/>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theme="9" tint="0.79998168889431442"/>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4" fillId="0" borderId="0" applyFont="0" applyFill="0" applyBorder="0" applyAlignment="0" applyProtection="0"/>
  </cellStyleXfs>
  <cellXfs count="31">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6" fontId="3" fillId="0" borderId="1" xfId="0" applyNumberFormat="1" applyFont="1" applyBorder="1" applyAlignment="1">
      <alignment horizontal="center" vertical="center" wrapText="1"/>
    </xf>
    <xf numFmtId="6" fontId="1" fillId="2" borderId="1" xfId="0" applyNumberFormat="1" applyFont="1" applyFill="1" applyBorder="1" applyAlignment="1">
      <alignment horizontal="center"/>
    </xf>
    <xf numFmtId="0" fontId="2" fillId="3" borderId="1" xfId="0" applyFont="1" applyFill="1" applyBorder="1" applyAlignment="1">
      <alignment horizontal="center" vertical="center" wrapText="1"/>
    </xf>
    <xf numFmtId="6" fontId="3"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6" fontId="3" fillId="4" borderId="1" xfId="0" applyNumberFormat="1" applyFont="1" applyFill="1" applyBorder="1" applyAlignment="1">
      <alignment horizontal="center" vertical="center" wrapText="1"/>
    </xf>
    <xf numFmtId="44" fontId="0" fillId="0" borderId="0" xfId="1" applyFont="1"/>
    <xf numFmtId="6" fontId="0" fillId="0" borderId="0" xfId="0" applyNumberFormat="1"/>
    <xf numFmtId="0" fontId="5" fillId="0" borderId="1" xfId="0" applyFont="1" applyBorder="1" applyAlignment="1">
      <alignment horizontal="center" vertical="center"/>
    </xf>
    <xf numFmtId="0" fontId="6" fillId="0" borderId="1" xfId="0" applyFont="1" applyBorder="1" applyAlignment="1">
      <alignment vertical="top" wrapText="1"/>
    </xf>
    <xf numFmtId="0" fontId="6" fillId="0" borderId="1" xfId="0" applyFont="1" applyBorder="1" applyAlignment="1">
      <alignment vertical="top"/>
    </xf>
    <xf numFmtId="10" fontId="0" fillId="0" borderId="0" xfId="0" applyNumberFormat="1"/>
    <xf numFmtId="0" fontId="8" fillId="0" borderId="0" xfId="0" applyFont="1"/>
    <xf numFmtId="10" fontId="8" fillId="0" borderId="0" xfId="0" applyNumberFormat="1" applyFont="1"/>
    <xf numFmtId="9" fontId="8" fillId="0" borderId="0" xfId="0" applyNumberFormat="1" applyFont="1"/>
    <xf numFmtId="0" fontId="9" fillId="0" borderId="1" xfId="0" applyFont="1" applyBorder="1" applyAlignment="1">
      <alignment horizontal="center" vertical="center" wrapText="1"/>
    </xf>
    <xf numFmtId="0" fontId="1" fillId="0" borderId="1" xfId="0" applyFont="1" applyBorder="1"/>
    <xf numFmtId="0" fontId="0" fillId="0" borderId="1" xfId="0" applyBorder="1"/>
    <xf numFmtId="6" fontId="0" fillId="0" borderId="1" xfId="0" applyNumberFormat="1" applyBorder="1"/>
    <xf numFmtId="6" fontId="1" fillId="5" borderId="1" xfId="0" applyNumberFormat="1" applyFont="1" applyFill="1" applyBorder="1"/>
    <xf numFmtId="0" fontId="10" fillId="0" borderId="1" xfId="0" applyFont="1" applyBorder="1" applyAlignment="1">
      <alignment horizontal="center" vertical="center" wrapText="1"/>
    </xf>
    <xf numFmtId="0" fontId="11" fillId="0" borderId="1" xfId="0" applyFont="1" applyBorder="1" applyAlignment="1">
      <alignment vertical="top" wrapText="1"/>
    </xf>
    <xf numFmtId="6" fontId="10" fillId="0" borderId="1" xfId="0" applyNumberFormat="1" applyFont="1" applyBorder="1" applyAlignment="1">
      <alignment horizontal="center" vertical="center" wrapText="1"/>
    </xf>
    <xf numFmtId="6" fontId="10" fillId="3" borderId="1" xfId="0" applyNumberFormat="1" applyFont="1" applyFill="1" applyBorder="1" applyAlignment="1">
      <alignment horizontal="center" vertical="center" wrapText="1"/>
    </xf>
    <xf numFmtId="6" fontId="10" fillId="4" borderId="1" xfId="0" applyNumberFormat="1" applyFont="1" applyFill="1" applyBorder="1" applyAlignment="1">
      <alignment horizontal="center" vertical="center" wrapText="1"/>
    </xf>
    <xf numFmtId="0" fontId="9" fillId="6" borderId="1" xfId="0" applyFont="1" applyFill="1" applyBorder="1" applyAlignment="1">
      <alignment horizontal="center" vertical="center" wrapText="1"/>
    </xf>
    <xf numFmtId="0" fontId="0" fillId="0" borderId="1" xfId="0" applyBorder="1" applyAlignment="1">
      <alignment horizontal="justify" vertical="center"/>
    </xf>
    <xf numFmtId="0" fontId="0" fillId="6" borderId="0" xfId="0" applyFill="1" applyAlignment="1">
      <alignment horizontal="justify"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0662C-E62A-414C-A951-B871DC684D5C}">
  <dimension ref="A2:V31"/>
  <sheetViews>
    <sheetView tabSelected="1" topLeftCell="A29" workbookViewId="0">
      <selection activeCell="O31" sqref="O31"/>
    </sheetView>
  </sheetViews>
  <sheetFormatPr baseColWidth="10" defaultColWidth="11.42578125" defaultRowHeight="15" x14ac:dyDescent="0.25"/>
  <cols>
    <col min="1" max="1" width="11.7109375" bestFit="1" customWidth="1"/>
    <col min="2" max="2" width="11.7109375" customWidth="1"/>
    <col min="3" max="3" width="18.28515625" customWidth="1"/>
    <col min="4" max="4" width="11.7109375" bestFit="1" customWidth="1"/>
    <col min="5" max="5" width="11.7109375" customWidth="1"/>
    <col min="6" max="6" width="13" bestFit="1" customWidth="1"/>
    <col min="7" max="7" width="13" customWidth="1"/>
    <col min="8" max="12" width="11.7109375" bestFit="1" customWidth="1"/>
    <col min="13" max="14" width="11.7109375" customWidth="1"/>
    <col min="15" max="15" width="11.7109375" bestFit="1" customWidth="1"/>
    <col min="16" max="16" width="14.28515625" bestFit="1" customWidth="1"/>
    <col min="17" max="17" width="15.5703125" bestFit="1" customWidth="1"/>
    <col min="18" max="18" width="22.7109375" customWidth="1"/>
    <col min="19" max="19" width="13.140625" bestFit="1" customWidth="1"/>
    <col min="22" max="22" width="11.7109375" bestFit="1" customWidth="1"/>
  </cols>
  <sheetData>
    <row r="2" spans="1:22" x14ac:dyDescent="0.25">
      <c r="C2" t="s">
        <v>0</v>
      </c>
      <c r="D2" s="14">
        <v>5.1999999999999998E-2</v>
      </c>
      <c r="E2" s="15" t="s">
        <v>1</v>
      </c>
      <c r="F2" s="16">
        <v>9.5399999999999999E-2</v>
      </c>
      <c r="G2" s="15" t="s">
        <v>2</v>
      </c>
      <c r="H2" s="16">
        <f>F2*40%+D2*60%</f>
        <v>6.9360000000000005E-2</v>
      </c>
    </row>
    <row r="3" spans="1:22" x14ac:dyDescent="0.25">
      <c r="C3" t="s">
        <v>3</v>
      </c>
      <c r="D3" s="14">
        <v>5.0999999999999997E-2</v>
      </c>
      <c r="E3" s="15" t="s">
        <v>4</v>
      </c>
      <c r="F3" s="17">
        <v>0.23</v>
      </c>
      <c r="G3" s="15" t="s">
        <v>2</v>
      </c>
      <c r="H3" s="16">
        <f>F3*40%+D3*60%</f>
        <v>0.12260000000000001</v>
      </c>
    </row>
    <row r="4" spans="1:22" x14ac:dyDescent="0.25">
      <c r="M4" s="1"/>
    </row>
    <row r="5" spans="1:22" ht="60" x14ac:dyDescent="0.25">
      <c r="A5" s="1" t="s">
        <v>5</v>
      </c>
      <c r="B5" s="11" t="s">
        <v>6</v>
      </c>
      <c r="C5" s="1" t="s">
        <v>7</v>
      </c>
      <c r="D5" s="1" t="s">
        <v>8</v>
      </c>
      <c r="E5" s="1">
        <v>2024</v>
      </c>
      <c r="F5" s="1" t="s">
        <v>9</v>
      </c>
      <c r="G5" s="1">
        <v>2025</v>
      </c>
      <c r="H5" s="1" t="s">
        <v>10</v>
      </c>
      <c r="I5" s="5" t="s">
        <v>11</v>
      </c>
      <c r="J5" s="7" t="s">
        <v>12</v>
      </c>
      <c r="K5" s="1" t="s">
        <v>13</v>
      </c>
      <c r="L5" s="1" t="s">
        <v>14</v>
      </c>
      <c r="M5" s="1" t="s">
        <v>15</v>
      </c>
      <c r="N5" s="1" t="s">
        <v>16</v>
      </c>
      <c r="O5" s="1" t="s">
        <v>17</v>
      </c>
      <c r="P5" s="1" t="s">
        <v>18</v>
      </c>
      <c r="Q5" s="1" t="s">
        <v>19</v>
      </c>
    </row>
    <row r="6" spans="1:22" ht="24" x14ac:dyDescent="0.25">
      <c r="A6" s="2">
        <v>1</v>
      </c>
      <c r="B6" s="12" t="s">
        <v>20</v>
      </c>
      <c r="C6" s="2" t="s">
        <v>21</v>
      </c>
      <c r="D6" s="18">
        <v>1</v>
      </c>
      <c r="E6" s="3">
        <v>76804</v>
      </c>
      <c r="F6" s="3">
        <f>E6*(1+$D$2)*(1+$D$3)</f>
        <v>84918.496207999997</v>
      </c>
      <c r="G6" s="3">
        <v>75104</v>
      </c>
      <c r="H6" s="3">
        <f>G6*(1+$D$3)</f>
        <v>78934.303999999989</v>
      </c>
      <c r="I6" s="6">
        <v>78897</v>
      </c>
      <c r="J6" s="8">
        <v>95200</v>
      </c>
      <c r="K6" s="3">
        <f t="shared" ref="K6:K30" si="0">ROUND(AVERAGE(F6,H6,I6,J6),0)</f>
        <v>84487</v>
      </c>
      <c r="L6" s="3">
        <f t="shared" ref="L6:L30" si="1">ROUND(MEDIAN(F6,H6,I6,J6),0)</f>
        <v>81926</v>
      </c>
      <c r="M6" s="3">
        <f t="shared" ref="M6:M30" si="2">ROUND(HARMEAN(F6,H6,I6,J6),0)</f>
        <v>83992</v>
      </c>
      <c r="N6" s="3">
        <f t="shared" ref="N6:N30" si="3">ROUND(GEOMEAN(F6,H6,I6,J6),0)</f>
        <v>84235</v>
      </c>
      <c r="O6" s="3">
        <f t="shared" ref="O6:O25" si="4">+_xlfn.STDEV.S(I6:J6)</f>
        <v>11527.961853684285</v>
      </c>
      <c r="P6" s="3">
        <f>L6</f>
        <v>81926</v>
      </c>
      <c r="Q6" s="3">
        <f>P6*D6</f>
        <v>81926</v>
      </c>
      <c r="T6" s="9"/>
      <c r="U6" s="10"/>
      <c r="V6" s="10"/>
    </row>
    <row r="7" spans="1:22" ht="24" x14ac:dyDescent="0.25">
      <c r="A7" s="2">
        <v>2</v>
      </c>
      <c r="B7" s="12" t="s">
        <v>20</v>
      </c>
      <c r="C7" s="2" t="s">
        <v>22</v>
      </c>
      <c r="D7" s="28">
        <v>1</v>
      </c>
      <c r="E7" s="3">
        <v>25480</v>
      </c>
      <c r="F7" s="3">
        <f t="shared" ref="F7:F26" si="5">E7*(1+$D$2)*(1+$D$3)</f>
        <v>28172.01296</v>
      </c>
      <c r="G7" s="3">
        <v>24916</v>
      </c>
      <c r="H7" s="3">
        <f t="shared" ref="H7:H29" si="6">G7*(1+$D$3)</f>
        <v>26186.715999999997</v>
      </c>
      <c r="I7" s="6">
        <v>26180</v>
      </c>
      <c r="J7" s="8">
        <v>47600</v>
      </c>
      <c r="K7" s="3">
        <f t="shared" si="0"/>
        <v>32035</v>
      </c>
      <c r="L7" s="3">
        <f t="shared" si="1"/>
        <v>27179</v>
      </c>
      <c r="M7" s="3">
        <f t="shared" si="2"/>
        <v>30100</v>
      </c>
      <c r="N7" s="3">
        <f t="shared" si="3"/>
        <v>30965</v>
      </c>
      <c r="O7" s="3">
        <f t="shared" si="4"/>
        <v>15146.227253015848</v>
      </c>
      <c r="P7" s="3">
        <f>L7</f>
        <v>27179</v>
      </c>
      <c r="Q7" s="3">
        <f t="shared" ref="Q7:Q30" si="7">P7*D7</f>
        <v>27179</v>
      </c>
    </row>
    <row r="8" spans="1:22" ht="28.5" x14ac:dyDescent="0.25">
      <c r="A8" s="2">
        <v>3</v>
      </c>
      <c r="B8" s="12" t="s">
        <v>20</v>
      </c>
      <c r="C8" s="2" t="s">
        <v>23</v>
      </c>
      <c r="D8" s="18">
        <v>1</v>
      </c>
      <c r="E8" s="3">
        <v>35863</v>
      </c>
      <c r="F8" s="3">
        <f t="shared" si="5"/>
        <v>39651.997675999999</v>
      </c>
      <c r="G8" s="3">
        <v>35069</v>
      </c>
      <c r="H8" s="3">
        <f t="shared" si="6"/>
        <v>36857.519</v>
      </c>
      <c r="I8" s="6">
        <v>36771</v>
      </c>
      <c r="J8" s="8">
        <v>65450</v>
      </c>
      <c r="K8" s="3">
        <f t="shared" si="0"/>
        <v>44683</v>
      </c>
      <c r="L8" s="3">
        <f t="shared" si="1"/>
        <v>38255</v>
      </c>
      <c r="M8" s="3">
        <f t="shared" si="2"/>
        <v>42183</v>
      </c>
      <c r="N8" s="3">
        <f t="shared" si="3"/>
        <v>43306</v>
      </c>
      <c r="O8" s="3">
        <f t="shared" si="4"/>
        <v>20279.115377648995</v>
      </c>
      <c r="P8" s="3">
        <f t="shared" ref="P8:P30" si="8">L8</f>
        <v>38255</v>
      </c>
      <c r="Q8" s="3">
        <f t="shared" si="7"/>
        <v>38255</v>
      </c>
    </row>
    <row r="9" spans="1:22" ht="24" x14ac:dyDescent="0.25">
      <c r="A9" s="2">
        <v>4</v>
      </c>
      <c r="B9" s="12" t="s">
        <v>20</v>
      </c>
      <c r="C9" s="2" t="s">
        <v>24</v>
      </c>
      <c r="D9" s="18">
        <v>25</v>
      </c>
      <c r="E9" s="3">
        <v>47547</v>
      </c>
      <c r="F9" s="3">
        <f t="shared" si="5"/>
        <v>52570.435643999997</v>
      </c>
      <c r="G9" s="3">
        <v>46494</v>
      </c>
      <c r="H9" s="3">
        <f t="shared" si="6"/>
        <v>48865.193999999996</v>
      </c>
      <c r="I9" s="6">
        <v>48790</v>
      </c>
      <c r="J9" s="8">
        <v>84490</v>
      </c>
      <c r="K9" s="3">
        <f t="shared" si="0"/>
        <v>58679</v>
      </c>
      <c r="L9" s="3">
        <f t="shared" si="1"/>
        <v>50718</v>
      </c>
      <c r="M9" s="3">
        <f t="shared" si="2"/>
        <v>55696</v>
      </c>
      <c r="N9" s="3">
        <f t="shared" si="3"/>
        <v>57045</v>
      </c>
      <c r="O9" s="3">
        <f t="shared" si="4"/>
        <v>25243.712088359745</v>
      </c>
      <c r="P9" s="3">
        <f t="shared" si="8"/>
        <v>50718</v>
      </c>
      <c r="Q9" s="3">
        <f t="shared" si="7"/>
        <v>1267950</v>
      </c>
    </row>
    <row r="10" spans="1:22" ht="28.5" x14ac:dyDescent="0.25">
      <c r="A10" s="2">
        <v>5</v>
      </c>
      <c r="B10" s="12" t="s">
        <v>20</v>
      </c>
      <c r="C10" s="2" t="s">
        <v>25</v>
      </c>
      <c r="D10" s="18">
        <v>1</v>
      </c>
      <c r="E10" s="3">
        <v>46648</v>
      </c>
      <c r="F10" s="3">
        <f t="shared" si="5"/>
        <v>51576.454495999998</v>
      </c>
      <c r="G10" s="3">
        <v>45615</v>
      </c>
      <c r="H10" s="3">
        <f t="shared" si="6"/>
        <v>47941.364999999998</v>
      </c>
      <c r="I10" s="6">
        <v>47838</v>
      </c>
      <c r="J10" s="8">
        <v>84490</v>
      </c>
      <c r="K10" s="3">
        <f t="shared" si="0"/>
        <v>57961</v>
      </c>
      <c r="L10" s="3">
        <f t="shared" si="1"/>
        <v>49759</v>
      </c>
      <c r="M10" s="3">
        <f t="shared" si="2"/>
        <v>54804</v>
      </c>
      <c r="N10" s="3">
        <f t="shared" si="3"/>
        <v>56226</v>
      </c>
      <c r="O10" s="3">
        <f t="shared" si="4"/>
        <v>25916.87774404934</v>
      </c>
      <c r="P10" s="3">
        <f t="shared" si="8"/>
        <v>49759</v>
      </c>
      <c r="Q10" s="3">
        <f t="shared" si="7"/>
        <v>49759</v>
      </c>
    </row>
    <row r="11" spans="1:22" ht="28.5" x14ac:dyDescent="0.25">
      <c r="A11" s="2">
        <v>6</v>
      </c>
      <c r="B11" s="12" t="s">
        <v>20</v>
      </c>
      <c r="C11" s="2" t="s">
        <v>26</v>
      </c>
      <c r="D11" s="18">
        <v>50</v>
      </c>
      <c r="E11" s="3">
        <v>48622</v>
      </c>
      <c r="F11" s="3">
        <f t="shared" si="5"/>
        <v>53759.011544000001</v>
      </c>
      <c r="G11" s="3">
        <v>47546</v>
      </c>
      <c r="H11" s="3">
        <f t="shared" si="6"/>
        <v>49970.845999999998</v>
      </c>
      <c r="I11" s="6">
        <v>49980</v>
      </c>
      <c r="J11" s="8">
        <v>83300</v>
      </c>
      <c r="K11" s="3">
        <f t="shared" si="0"/>
        <v>59252</v>
      </c>
      <c r="L11" s="3">
        <f t="shared" si="1"/>
        <v>51870</v>
      </c>
      <c r="M11" s="3">
        <f t="shared" si="2"/>
        <v>56636</v>
      </c>
      <c r="N11" s="3">
        <f t="shared" si="3"/>
        <v>57830</v>
      </c>
      <c r="O11" s="3">
        <f t="shared" si="4"/>
        <v>23560.797949135762</v>
      </c>
      <c r="P11" s="3">
        <f t="shared" si="8"/>
        <v>51870</v>
      </c>
      <c r="Q11" s="3">
        <f t="shared" si="7"/>
        <v>2593500</v>
      </c>
    </row>
    <row r="12" spans="1:22" ht="42.75" x14ac:dyDescent="0.25">
      <c r="A12" s="2">
        <v>7</v>
      </c>
      <c r="B12" s="12" t="s">
        <v>20</v>
      </c>
      <c r="C12" s="2" t="s">
        <v>27</v>
      </c>
      <c r="D12" s="18">
        <v>1</v>
      </c>
      <c r="E12" s="3">
        <v>13522</v>
      </c>
      <c r="F12" s="3">
        <f t="shared" si="5"/>
        <v>14950.626343999998</v>
      </c>
      <c r="G12" s="3">
        <v>13224</v>
      </c>
      <c r="H12" s="3">
        <f t="shared" si="6"/>
        <v>13898.423999999999</v>
      </c>
      <c r="I12" s="6">
        <v>13923</v>
      </c>
      <c r="J12" s="8">
        <v>23800</v>
      </c>
      <c r="K12" s="3">
        <f t="shared" si="0"/>
        <v>16643</v>
      </c>
      <c r="L12" s="3">
        <f t="shared" si="1"/>
        <v>14437</v>
      </c>
      <c r="M12" s="3">
        <f t="shared" si="2"/>
        <v>15830</v>
      </c>
      <c r="N12" s="3">
        <f t="shared" si="3"/>
        <v>16199</v>
      </c>
      <c r="O12" s="3">
        <f t="shared" si="4"/>
        <v>6984.0936777795296</v>
      </c>
      <c r="P12" s="3">
        <f t="shared" si="8"/>
        <v>14437</v>
      </c>
      <c r="Q12" s="3">
        <f t="shared" si="7"/>
        <v>14437</v>
      </c>
    </row>
    <row r="13" spans="1:22" ht="42.75" x14ac:dyDescent="0.25">
      <c r="A13" s="2">
        <v>8</v>
      </c>
      <c r="B13" s="12" t="s">
        <v>20</v>
      </c>
      <c r="C13" s="2" t="s">
        <v>28</v>
      </c>
      <c r="D13" s="18">
        <v>30</v>
      </c>
      <c r="E13" s="3">
        <v>52120</v>
      </c>
      <c r="F13" s="3">
        <f t="shared" si="5"/>
        <v>57626.582240000003</v>
      </c>
      <c r="G13" s="3">
        <v>50967</v>
      </c>
      <c r="H13" s="3">
        <f t="shared" si="6"/>
        <v>53566.316999999995</v>
      </c>
      <c r="I13" s="6">
        <v>53550</v>
      </c>
      <c r="J13" s="8">
        <v>91630</v>
      </c>
      <c r="K13" s="3">
        <f t="shared" si="0"/>
        <v>64093</v>
      </c>
      <c r="L13" s="3">
        <f t="shared" si="1"/>
        <v>55596</v>
      </c>
      <c r="M13" s="3">
        <f t="shared" si="2"/>
        <v>60967</v>
      </c>
      <c r="N13" s="3">
        <f t="shared" si="3"/>
        <v>62385</v>
      </c>
      <c r="O13" s="3">
        <f t="shared" si="4"/>
        <v>26926.626227583729</v>
      </c>
      <c r="P13" s="3">
        <f t="shared" si="8"/>
        <v>55596</v>
      </c>
      <c r="Q13" s="3">
        <f t="shared" si="7"/>
        <v>1667880</v>
      </c>
    </row>
    <row r="14" spans="1:22" ht="60" x14ac:dyDescent="0.25">
      <c r="A14" s="23">
        <v>9</v>
      </c>
      <c r="B14" s="24" t="s">
        <v>20</v>
      </c>
      <c r="C14" s="23" t="s">
        <v>29</v>
      </c>
      <c r="D14" s="23">
        <v>0</v>
      </c>
      <c r="E14" s="25">
        <v>43781</v>
      </c>
      <c r="F14" s="25">
        <f t="shared" si="5"/>
        <v>48406.550211999995</v>
      </c>
      <c r="G14" s="25">
        <v>77041</v>
      </c>
      <c r="H14" s="25">
        <f t="shared" si="6"/>
        <v>80970.091</v>
      </c>
      <c r="I14" s="26">
        <v>80920</v>
      </c>
      <c r="J14" s="27">
        <v>78540</v>
      </c>
      <c r="K14" s="25">
        <f t="shared" si="0"/>
        <v>72209</v>
      </c>
      <c r="L14" s="25">
        <f t="shared" si="1"/>
        <v>79730</v>
      </c>
      <c r="M14" s="25">
        <f t="shared" si="2"/>
        <v>68848</v>
      </c>
      <c r="N14" s="25">
        <f t="shared" si="3"/>
        <v>70647</v>
      </c>
      <c r="O14" s="25">
        <f t="shared" si="4"/>
        <v>1682.9141392239831</v>
      </c>
      <c r="P14" s="25">
        <f t="shared" si="8"/>
        <v>79730</v>
      </c>
      <c r="Q14" s="25">
        <f t="shared" si="7"/>
        <v>0</v>
      </c>
      <c r="R14" s="30" t="s">
        <v>51</v>
      </c>
    </row>
    <row r="15" spans="1:22" ht="28.5" x14ac:dyDescent="0.25">
      <c r="A15" s="2">
        <v>10</v>
      </c>
      <c r="B15" s="12" t="s">
        <v>20</v>
      </c>
      <c r="C15" s="2" t="s">
        <v>30</v>
      </c>
      <c r="D15" s="18">
        <v>1</v>
      </c>
      <c r="E15" s="3">
        <v>226956</v>
      </c>
      <c r="F15" s="3">
        <f t="shared" si="5"/>
        <v>250934.35531199997</v>
      </c>
      <c r="G15" s="3">
        <v>221932</v>
      </c>
      <c r="H15" s="3">
        <f t="shared" si="6"/>
        <v>233250.53199999998</v>
      </c>
      <c r="I15" s="6">
        <v>233002</v>
      </c>
      <c r="J15" s="8">
        <v>404600</v>
      </c>
      <c r="K15" s="3">
        <f t="shared" si="0"/>
        <v>280447</v>
      </c>
      <c r="L15" s="3">
        <f t="shared" si="1"/>
        <v>242092</v>
      </c>
      <c r="M15" s="3">
        <f t="shared" si="2"/>
        <v>266033</v>
      </c>
      <c r="N15" s="3">
        <f t="shared" si="3"/>
        <v>272547</v>
      </c>
      <c r="O15" s="3">
        <f t="shared" si="4"/>
        <v>121338.10943804918</v>
      </c>
      <c r="P15" s="3">
        <f t="shared" si="8"/>
        <v>242092</v>
      </c>
      <c r="Q15" s="3">
        <f t="shared" si="7"/>
        <v>242092</v>
      </c>
    </row>
    <row r="16" spans="1:22" ht="28.5" x14ac:dyDescent="0.25">
      <c r="A16" s="2">
        <v>11</v>
      </c>
      <c r="B16" s="12" t="s">
        <v>20</v>
      </c>
      <c r="C16" s="2" t="s">
        <v>31</v>
      </c>
      <c r="D16" s="18">
        <v>7</v>
      </c>
      <c r="E16" s="3">
        <v>137899</v>
      </c>
      <c r="F16" s="3">
        <f t="shared" si="5"/>
        <v>152468.30514799998</v>
      </c>
      <c r="G16" s="3">
        <v>134846</v>
      </c>
      <c r="H16" s="3">
        <f t="shared" si="6"/>
        <v>141723.14599999998</v>
      </c>
      <c r="I16" s="6">
        <v>141610</v>
      </c>
      <c r="J16" s="8">
        <v>404600</v>
      </c>
      <c r="K16" s="3">
        <f t="shared" si="0"/>
        <v>210100</v>
      </c>
      <c r="L16" s="3">
        <f t="shared" si="1"/>
        <v>147096</v>
      </c>
      <c r="M16" s="3">
        <f t="shared" si="2"/>
        <v>172801</v>
      </c>
      <c r="N16" s="3">
        <f t="shared" si="3"/>
        <v>187579</v>
      </c>
      <c r="O16" s="3">
        <f t="shared" si="4"/>
        <v>185962.01238425012</v>
      </c>
      <c r="P16" s="3">
        <f t="shared" si="8"/>
        <v>147096</v>
      </c>
      <c r="Q16" s="3">
        <f t="shared" si="7"/>
        <v>1029672</v>
      </c>
    </row>
    <row r="17" spans="1:18" ht="24" x14ac:dyDescent="0.25">
      <c r="A17" s="2">
        <v>12</v>
      </c>
      <c r="B17" s="12" t="s">
        <v>20</v>
      </c>
      <c r="C17" s="2" t="s">
        <v>32</v>
      </c>
      <c r="D17" s="18">
        <v>30</v>
      </c>
      <c r="E17" s="3">
        <v>137899</v>
      </c>
      <c r="F17" s="3">
        <f>E17*(1+$D$2)*(1+$D$3)</f>
        <v>152468.30514799998</v>
      </c>
      <c r="G17" s="3">
        <v>134846</v>
      </c>
      <c r="H17" s="3">
        <f t="shared" si="6"/>
        <v>141723.14599999998</v>
      </c>
      <c r="I17" s="6">
        <v>141610</v>
      </c>
      <c r="J17" s="8">
        <v>404600</v>
      </c>
      <c r="K17" s="3">
        <f t="shared" si="0"/>
        <v>210100</v>
      </c>
      <c r="L17" s="3">
        <f t="shared" si="1"/>
        <v>147096</v>
      </c>
      <c r="M17" s="3">
        <f t="shared" si="2"/>
        <v>172801</v>
      </c>
      <c r="N17" s="3">
        <f t="shared" si="3"/>
        <v>187579</v>
      </c>
      <c r="O17" s="3">
        <f t="shared" si="4"/>
        <v>185962.01238425012</v>
      </c>
      <c r="P17" s="3">
        <f t="shared" si="8"/>
        <v>147096</v>
      </c>
      <c r="Q17" s="3">
        <f t="shared" si="7"/>
        <v>4412880</v>
      </c>
    </row>
    <row r="18" spans="1:18" ht="28.5" x14ac:dyDescent="0.25">
      <c r="A18" s="2">
        <v>13</v>
      </c>
      <c r="B18" s="12" t="s">
        <v>20</v>
      </c>
      <c r="C18" s="2" t="s">
        <v>33</v>
      </c>
      <c r="D18" s="18">
        <v>6</v>
      </c>
      <c r="E18" s="3">
        <v>226956</v>
      </c>
      <c r="F18" s="3">
        <f t="shared" si="5"/>
        <v>250934.35531199997</v>
      </c>
      <c r="G18" s="3">
        <v>221932</v>
      </c>
      <c r="H18" s="3">
        <f t="shared" si="6"/>
        <v>233250.53199999998</v>
      </c>
      <c r="I18" s="6">
        <v>233002</v>
      </c>
      <c r="J18" s="8">
        <v>404600</v>
      </c>
      <c r="K18" s="3">
        <f t="shared" si="0"/>
        <v>280447</v>
      </c>
      <c r="L18" s="3">
        <f t="shared" si="1"/>
        <v>242092</v>
      </c>
      <c r="M18" s="3">
        <f t="shared" si="2"/>
        <v>266033</v>
      </c>
      <c r="N18" s="3">
        <f t="shared" si="3"/>
        <v>272547</v>
      </c>
      <c r="O18" s="3">
        <f t="shared" si="4"/>
        <v>121338.10943804918</v>
      </c>
      <c r="P18" s="3">
        <f t="shared" si="8"/>
        <v>242092</v>
      </c>
      <c r="Q18" s="3">
        <f t="shared" si="7"/>
        <v>1452552</v>
      </c>
    </row>
    <row r="19" spans="1:18" ht="24" x14ac:dyDescent="0.25">
      <c r="A19" s="2">
        <v>14</v>
      </c>
      <c r="B19" s="12" t="s">
        <v>20</v>
      </c>
      <c r="C19" s="2" t="s">
        <v>34</v>
      </c>
      <c r="D19" s="18">
        <v>11</v>
      </c>
      <c r="E19" s="3">
        <v>226956</v>
      </c>
      <c r="F19" s="3">
        <f t="shared" si="5"/>
        <v>250934.35531199997</v>
      </c>
      <c r="G19" s="3">
        <v>221932</v>
      </c>
      <c r="H19" s="3">
        <f t="shared" si="6"/>
        <v>233250.53199999998</v>
      </c>
      <c r="I19" s="6">
        <v>233002</v>
      </c>
      <c r="J19" s="8">
        <v>404600</v>
      </c>
      <c r="K19" s="3">
        <f t="shared" si="0"/>
        <v>280447</v>
      </c>
      <c r="L19" s="3">
        <f t="shared" si="1"/>
        <v>242092</v>
      </c>
      <c r="M19" s="3">
        <f t="shared" si="2"/>
        <v>266033</v>
      </c>
      <c r="N19" s="3">
        <f t="shared" si="3"/>
        <v>272547</v>
      </c>
      <c r="O19" s="3">
        <f t="shared" si="4"/>
        <v>121338.10943804918</v>
      </c>
      <c r="P19" s="3">
        <f t="shared" si="8"/>
        <v>242092</v>
      </c>
      <c r="Q19" s="3">
        <f t="shared" si="7"/>
        <v>2663012</v>
      </c>
    </row>
    <row r="20" spans="1:18" ht="28.5" x14ac:dyDescent="0.25">
      <c r="A20" s="2">
        <v>15</v>
      </c>
      <c r="B20" s="12" t="s">
        <v>20</v>
      </c>
      <c r="C20" s="2" t="s">
        <v>35</v>
      </c>
      <c r="D20" s="18">
        <v>16</v>
      </c>
      <c r="E20" s="2"/>
      <c r="F20" s="3"/>
      <c r="G20" s="2">
        <v>241011</v>
      </c>
      <c r="H20" s="3">
        <f t="shared" si="6"/>
        <v>253302.56099999999</v>
      </c>
      <c r="I20" s="6">
        <v>253113</v>
      </c>
      <c r="J20" s="8">
        <v>404600</v>
      </c>
      <c r="K20" s="3">
        <f t="shared" si="0"/>
        <v>303672</v>
      </c>
      <c r="L20" s="3">
        <f t="shared" si="1"/>
        <v>253303</v>
      </c>
      <c r="M20" s="3">
        <f t="shared" si="2"/>
        <v>289290</v>
      </c>
      <c r="N20" s="3">
        <f t="shared" si="3"/>
        <v>296024</v>
      </c>
      <c r="O20" s="3">
        <f t="shared" si="4"/>
        <v>107117.48496160652</v>
      </c>
      <c r="P20" s="3">
        <f t="shared" si="8"/>
        <v>253303</v>
      </c>
      <c r="Q20" s="3">
        <f t="shared" si="7"/>
        <v>4052848</v>
      </c>
    </row>
    <row r="21" spans="1:18" ht="28.5" x14ac:dyDescent="0.25">
      <c r="A21" s="2">
        <v>16</v>
      </c>
      <c r="B21" s="12" t="s">
        <v>20</v>
      </c>
      <c r="C21" s="2" t="s">
        <v>36</v>
      </c>
      <c r="D21" s="18">
        <v>3</v>
      </c>
      <c r="E21" s="2"/>
      <c r="F21" s="3"/>
      <c r="G21" s="2">
        <v>241011</v>
      </c>
      <c r="H21" s="3">
        <f t="shared" si="6"/>
        <v>253302.56099999999</v>
      </c>
      <c r="I21" s="6">
        <v>253113</v>
      </c>
      <c r="J21" s="8">
        <v>404600</v>
      </c>
      <c r="K21" s="3">
        <f t="shared" si="0"/>
        <v>303672</v>
      </c>
      <c r="L21" s="3">
        <f t="shared" si="1"/>
        <v>253303</v>
      </c>
      <c r="M21" s="3">
        <f t="shared" si="2"/>
        <v>289290</v>
      </c>
      <c r="N21" s="3">
        <f t="shared" si="3"/>
        <v>296024</v>
      </c>
      <c r="O21" s="3">
        <f t="shared" si="4"/>
        <v>107117.48496160652</v>
      </c>
      <c r="P21" s="3">
        <f t="shared" si="8"/>
        <v>253303</v>
      </c>
      <c r="Q21" s="3">
        <f t="shared" si="7"/>
        <v>759909</v>
      </c>
    </row>
    <row r="22" spans="1:18" x14ac:dyDescent="0.25">
      <c r="A22" s="2">
        <v>17</v>
      </c>
      <c r="B22" s="13" t="s">
        <v>37</v>
      </c>
      <c r="C22" s="2" t="s">
        <v>21</v>
      </c>
      <c r="D22" s="18">
        <v>1</v>
      </c>
      <c r="E22" s="3">
        <v>201139</v>
      </c>
      <c r="F22" s="3">
        <f t="shared" si="5"/>
        <v>222389.737628</v>
      </c>
      <c r="G22" s="3">
        <v>196686</v>
      </c>
      <c r="H22" s="3">
        <f t="shared" si="6"/>
        <v>206716.98599999998</v>
      </c>
      <c r="I22" s="6">
        <v>206465</v>
      </c>
      <c r="J22" s="8">
        <v>309400</v>
      </c>
      <c r="K22" s="3">
        <f t="shared" si="0"/>
        <v>236243</v>
      </c>
      <c r="L22" s="3">
        <f t="shared" si="1"/>
        <v>214553</v>
      </c>
      <c r="M22" s="3">
        <f t="shared" si="2"/>
        <v>229758</v>
      </c>
      <c r="N22" s="3">
        <f t="shared" si="3"/>
        <v>232790</v>
      </c>
      <c r="O22" s="3">
        <f t="shared" si="4"/>
        <v>72786.036521437272</v>
      </c>
      <c r="P22" s="3">
        <f t="shared" si="8"/>
        <v>214553</v>
      </c>
      <c r="Q22" s="3">
        <f t="shared" si="7"/>
        <v>214553</v>
      </c>
    </row>
    <row r="23" spans="1:18" x14ac:dyDescent="0.25">
      <c r="A23" s="2">
        <v>18</v>
      </c>
      <c r="B23" s="13" t="s">
        <v>37</v>
      </c>
      <c r="C23" s="2" t="s">
        <v>24</v>
      </c>
      <c r="D23" s="18">
        <v>15</v>
      </c>
      <c r="E23" s="3">
        <v>113180</v>
      </c>
      <c r="F23" s="3">
        <f t="shared" si="5"/>
        <v>125137.69335999999</v>
      </c>
      <c r="G23" s="3">
        <v>196491</v>
      </c>
      <c r="H23" s="3">
        <f t="shared" si="6"/>
        <v>206512.041</v>
      </c>
      <c r="I23" s="6">
        <v>206346</v>
      </c>
      <c r="J23" s="8">
        <v>190400</v>
      </c>
      <c r="K23" s="3">
        <f t="shared" si="0"/>
        <v>182099</v>
      </c>
      <c r="L23" s="3">
        <f t="shared" si="1"/>
        <v>198373</v>
      </c>
      <c r="M23" s="3">
        <f t="shared" si="2"/>
        <v>174430</v>
      </c>
      <c r="N23" s="3">
        <f t="shared" si="3"/>
        <v>178504</v>
      </c>
      <c r="O23" s="3">
        <f t="shared" si="4"/>
        <v>11275.524732800686</v>
      </c>
      <c r="P23" s="3">
        <f t="shared" si="8"/>
        <v>198373</v>
      </c>
      <c r="Q23" s="3">
        <f t="shared" si="7"/>
        <v>2975595</v>
      </c>
    </row>
    <row r="24" spans="1:18" ht="28.5" x14ac:dyDescent="0.25">
      <c r="A24" s="2">
        <v>19</v>
      </c>
      <c r="B24" s="13" t="s">
        <v>37</v>
      </c>
      <c r="C24" s="2" t="s">
        <v>25</v>
      </c>
      <c r="D24" s="18">
        <v>1</v>
      </c>
      <c r="E24" s="3">
        <v>158862</v>
      </c>
      <c r="F24" s="3">
        <f t="shared" si="5"/>
        <v>175646.08802399997</v>
      </c>
      <c r="G24" s="3">
        <v>239806</v>
      </c>
      <c r="H24" s="3">
        <f t="shared" si="6"/>
        <v>252036.10599999997</v>
      </c>
      <c r="I24" s="6">
        <v>251804</v>
      </c>
      <c r="J24" s="8">
        <v>190400</v>
      </c>
      <c r="K24" s="3">
        <f t="shared" si="0"/>
        <v>217472</v>
      </c>
      <c r="L24" s="3">
        <f t="shared" si="1"/>
        <v>221102</v>
      </c>
      <c r="M24" s="3">
        <f t="shared" si="2"/>
        <v>211815</v>
      </c>
      <c r="N24" s="3">
        <f t="shared" si="3"/>
        <v>214639</v>
      </c>
      <c r="O24" s="3">
        <f t="shared" si="4"/>
        <v>43419.184791978761</v>
      </c>
      <c r="P24" s="3">
        <f t="shared" si="8"/>
        <v>221102</v>
      </c>
      <c r="Q24" s="3">
        <f t="shared" si="7"/>
        <v>221102</v>
      </c>
    </row>
    <row r="25" spans="1:18" ht="28.5" x14ac:dyDescent="0.25">
      <c r="A25" s="2">
        <v>20</v>
      </c>
      <c r="B25" s="13" t="s">
        <v>37</v>
      </c>
      <c r="C25" s="2" t="s">
        <v>26</v>
      </c>
      <c r="D25" s="18">
        <v>20</v>
      </c>
      <c r="E25" s="3">
        <v>157418</v>
      </c>
      <c r="F25" s="3">
        <f t="shared" si="5"/>
        <v>174049.52653599999</v>
      </c>
      <c r="G25" s="3">
        <v>238611</v>
      </c>
      <c r="H25" s="3">
        <f t="shared" si="6"/>
        <v>250780.16099999999</v>
      </c>
      <c r="I25" s="6">
        <v>250495</v>
      </c>
      <c r="J25" s="8">
        <v>267750</v>
      </c>
      <c r="K25" s="3">
        <f t="shared" si="0"/>
        <v>235769</v>
      </c>
      <c r="L25" s="3">
        <f t="shared" si="1"/>
        <v>250638</v>
      </c>
      <c r="M25" s="3">
        <f t="shared" si="2"/>
        <v>229095</v>
      </c>
      <c r="N25" s="3">
        <f t="shared" si="3"/>
        <v>232607</v>
      </c>
      <c r="O25" s="3">
        <f t="shared" si="4"/>
        <v>12201.127509373877</v>
      </c>
      <c r="P25" s="3">
        <f t="shared" si="8"/>
        <v>250638</v>
      </c>
      <c r="Q25" s="3">
        <f t="shared" si="7"/>
        <v>5012760</v>
      </c>
    </row>
    <row r="26" spans="1:18" ht="48" x14ac:dyDescent="0.25">
      <c r="A26" s="2">
        <v>21</v>
      </c>
      <c r="B26" s="12" t="s">
        <v>38</v>
      </c>
      <c r="C26" s="2" t="s">
        <v>31</v>
      </c>
      <c r="D26" s="18">
        <v>7</v>
      </c>
      <c r="E26" s="3">
        <v>544814</v>
      </c>
      <c r="F26" s="3">
        <f t="shared" si="5"/>
        <v>602374.68872799992</v>
      </c>
      <c r="G26" s="3">
        <v>330221</v>
      </c>
      <c r="H26" s="3">
        <f t="shared" si="6"/>
        <v>347062.27099999995</v>
      </c>
      <c r="I26" s="6">
        <v>346766</v>
      </c>
      <c r="J26" s="8" t="s">
        <v>39</v>
      </c>
      <c r="K26" s="3">
        <f t="shared" si="0"/>
        <v>432068</v>
      </c>
      <c r="L26" s="3">
        <f t="shared" si="1"/>
        <v>347062</v>
      </c>
      <c r="M26" s="3">
        <f t="shared" si="2"/>
        <v>404029</v>
      </c>
      <c r="N26" s="3">
        <f t="shared" si="3"/>
        <v>416969</v>
      </c>
      <c r="O26" s="3" t="str">
        <f>IFERROR(+_xlfn.STDEV.S(I26:J26),"No aplica")</f>
        <v>No aplica</v>
      </c>
      <c r="P26" s="3">
        <f t="shared" si="8"/>
        <v>347062</v>
      </c>
      <c r="Q26" s="3">
        <f t="shared" si="7"/>
        <v>2429434</v>
      </c>
    </row>
    <row r="27" spans="1:18" ht="48" x14ac:dyDescent="0.25">
      <c r="A27" s="2">
        <v>22</v>
      </c>
      <c r="B27" s="12" t="s">
        <v>38</v>
      </c>
      <c r="C27" s="2" t="s">
        <v>34</v>
      </c>
      <c r="D27" s="18">
        <v>11</v>
      </c>
      <c r="E27" s="2"/>
      <c r="F27" s="3"/>
      <c r="G27" s="3">
        <v>298875</v>
      </c>
      <c r="H27" s="3">
        <f t="shared" si="6"/>
        <v>314117.625</v>
      </c>
      <c r="I27" s="6">
        <v>313803</v>
      </c>
      <c r="J27" s="8">
        <v>809200</v>
      </c>
      <c r="K27" s="3">
        <f t="shared" si="0"/>
        <v>479040</v>
      </c>
      <c r="L27" s="3">
        <f t="shared" si="1"/>
        <v>314118</v>
      </c>
      <c r="M27" s="3">
        <f t="shared" si="2"/>
        <v>394424</v>
      </c>
      <c r="N27" s="3">
        <f t="shared" si="3"/>
        <v>430462</v>
      </c>
      <c r="O27" s="3">
        <f>+_xlfn.STDEV.S(I27:J27)</f>
        <v>350298.57807947206</v>
      </c>
      <c r="P27" s="3">
        <f t="shared" si="8"/>
        <v>314118</v>
      </c>
      <c r="Q27" s="3">
        <f t="shared" si="7"/>
        <v>3455298</v>
      </c>
    </row>
    <row r="28" spans="1:18" ht="48" x14ac:dyDescent="0.25">
      <c r="A28" s="2">
        <v>23</v>
      </c>
      <c r="B28" s="12" t="s">
        <v>38</v>
      </c>
      <c r="C28" s="2" t="s">
        <v>35</v>
      </c>
      <c r="D28" s="18">
        <v>21</v>
      </c>
      <c r="E28" s="2"/>
      <c r="F28" s="3"/>
      <c r="G28" s="3">
        <v>291592</v>
      </c>
      <c r="H28" s="3">
        <f t="shared" si="6"/>
        <v>306463.19199999998</v>
      </c>
      <c r="I28" s="6">
        <v>306187</v>
      </c>
      <c r="J28" s="8">
        <v>809200</v>
      </c>
      <c r="K28" s="3">
        <f t="shared" si="0"/>
        <v>473950</v>
      </c>
      <c r="L28" s="3">
        <f t="shared" si="1"/>
        <v>306463</v>
      </c>
      <c r="M28" s="3">
        <f t="shared" si="2"/>
        <v>386359</v>
      </c>
      <c r="N28" s="3">
        <f t="shared" si="3"/>
        <v>423455</v>
      </c>
      <c r="O28" s="3">
        <f>+_xlfn.STDEV.S(I28:J28)</f>
        <v>355683.90332498885</v>
      </c>
      <c r="P28" s="3">
        <f t="shared" si="8"/>
        <v>306463</v>
      </c>
      <c r="Q28" s="3">
        <f t="shared" si="7"/>
        <v>6435723</v>
      </c>
    </row>
    <row r="29" spans="1:18" ht="48" x14ac:dyDescent="0.25">
      <c r="A29" s="2">
        <v>24</v>
      </c>
      <c r="B29" s="12" t="s">
        <v>38</v>
      </c>
      <c r="C29" s="2" t="s">
        <v>36</v>
      </c>
      <c r="D29" s="18">
        <v>3</v>
      </c>
      <c r="E29" s="2"/>
      <c r="F29" s="3"/>
      <c r="G29" s="3">
        <v>295299</v>
      </c>
      <c r="H29" s="3">
        <f t="shared" si="6"/>
        <v>310359.24899999995</v>
      </c>
      <c r="I29" s="6">
        <v>310114</v>
      </c>
      <c r="J29" s="8">
        <v>809200</v>
      </c>
      <c r="K29" s="3">
        <f t="shared" si="0"/>
        <v>476558</v>
      </c>
      <c r="L29" s="3">
        <f t="shared" si="1"/>
        <v>310359</v>
      </c>
      <c r="M29" s="3">
        <f t="shared" si="2"/>
        <v>390499</v>
      </c>
      <c r="N29" s="3">
        <f t="shared" si="3"/>
        <v>427052</v>
      </c>
      <c r="O29" s="3">
        <f>+_xlfn.STDEV.S(I29:J29)</f>
        <v>352907.09499526926</v>
      </c>
      <c r="P29" s="3">
        <f t="shared" si="8"/>
        <v>310359</v>
      </c>
      <c r="Q29" s="3">
        <f t="shared" si="7"/>
        <v>931077</v>
      </c>
    </row>
    <row r="30" spans="1:18" ht="48" x14ac:dyDescent="0.25">
      <c r="A30" s="2">
        <v>25</v>
      </c>
      <c r="B30" s="12" t="s">
        <v>38</v>
      </c>
      <c r="C30" s="2" t="s">
        <v>32</v>
      </c>
      <c r="D30" s="18">
        <v>30</v>
      </c>
      <c r="E30" s="2"/>
      <c r="F30" s="3"/>
      <c r="G30" s="2"/>
      <c r="H30" s="3"/>
      <c r="I30" s="6">
        <v>310114</v>
      </c>
      <c r="J30" s="8" t="s">
        <v>39</v>
      </c>
      <c r="K30" s="3">
        <f t="shared" si="0"/>
        <v>310114</v>
      </c>
      <c r="L30" s="3">
        <f t="shared" si="1"/>
        <v>310114</v>
      </c>
      <c r="M30" s="3">
        <f t="shared" si="2"/>
        <v>310114</v>
      </c>
      <c r="N30" s="3">
        <f t="shared" si="3"/>
        <v>310114</v>
      </c>
      <c r="O30" s="3" t="str">
        <f>IFERROR(+_xlfn.STDEV.S(I30:J30),"No aplica")</f>
        <v>No aplica</v>
      </c>
      <c r="P30" s="3">
        <f t="shared" si="8"/>
        <v>310114</v>
      </c>
      <c r="Q30" s="3">
        <f t="shared" si="7"/>
        <v>9303420</v>
      </c>
    </row>
    <row r="31" spans="1:18" x14ac:dyDescent="0.25">
      <c r="P31" s="3">
        <f>SUM(P6:P30)</f>
        <v>4449326</v>
      </c>
      <c r="Q31" s="3">
        <f>SUM(Q6:Q30)</f>
        <v>51332813</v>
      </c>
      <c r="R31" s="4">
        <f>SUM(Q6:Q30)</f>
        <v>51332813</v>
      </c>
    </row>
  </sheetData>
  <phoneticPr fontId="7"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6819DF-43C8-42D9-B6F7-75464F42E4BA}">
  <dimension ref="A1:C18"/>
  <sheetViews>
    <sheetView workbookViewId="0">
      <selection activeCell="C6" sqref="C6"/>
    </sheetView>
  </sheetViews>
  <sheetFormatPr baseColWidth="10" defaultColWidth="11.42578125" defaultRowHeight="15" x14ac:dyDescent="0.25"/>
  <cols>
    <col min="1" max="1" width="89.42578125" customWidth="1"/>
    <col min="2" max="2" width="24" bestFit="1" customWidth="1"/>
    <col min="3" max="3" width="37.28515625" customWidth="1"/>
  </cols>
  <sheetData>
    <row r="1" spans="1:3" x14ac:dyDescent="0.25">
      <c r="A1" s="19" t="s">
        <v>40</v>
      </c>
      <c r="B1" s="19" t="s">
        <v>41</v>
      </c>
    </row>
    <row r="2" spans="1:3" x14ac:dyDescent="0.25">
      <c r="A2" s="20" t="s">
        <v>42</v>
      </c>
      <c r="B2" s="21">
        <f>'Estudio de mercado'!Q31</f>
        <v>51332813</v>
      </c>
    </row>
    <row r="3" spans="1:3" x14ac:dyDescent="0.25">
      <c r="A3" s="20" t="s">
        <v>43</v>
      </c>
      <c r="B3" s="21">
        <v>48667187</v>
      </c>
    </row>
    <row r="4" spans="1:3" x14ac:dyDescent="0.25">
      <c r="A4" s="19" t="s">
        <v>44</v>
      </c>
      <c r="B4" s="22">
        <f>SUM(B2:B3)</f>
        <v>100000000</v>
      </c>
    </row>
    <row r="7" spans="1:3" x14ac:dyDescent="0.25">
      <c r="A7" t="s">
        <v>45</v>
      </c>
      <c r="B7" s="10">
        <v>23168979</v>
      </c>
      <c r="C7" s="10">
        <f>B7+B12</f>
        <v>51332813</v>
      </c>
    </row>
    <row r="8" spans="1:3" x14ac:dyDescent="0.25">
      <c r="A8" t="s">
        <v>46</v>
      </c>
      <c r="B8" s="10">
        <v>26831021</v>
      </c>
    </row>
    <row r="9" spans="1:3" x14ac:dyDescent="0.25">
      <c r="A9" t="s">
        <v>47</v>
      </c>
      <c r="B9" s="10">
        <f>SUM(B7:B8)</f>
        <v>50000000</v>
      </c>
    </row>
    <row r="11" spans="1:3" x14ac:dyDescent="0.25">
      <c r="C11" s="10">
        <f>B7+B12</f>
        <v>51332813</v>
      </c>
    </row>
    <row r="12" spans="1:3" x14ac:dyDescent="0.25">
      <c r="A12" t="s">
        <v>48</v>
      </c>
      <c r="B12" s="10">
        <v>28163834</v>
      </c>
    </row>
    <row r="13" spans="1:3" x14ac:dyDescent="0.25">
      <c r="A13" t="s">
        <v>46</v>
      </c>
      <c r="B13" s="10">
        <v>21836166</v>
      </c>
    </row>
    <row r="14" spans="1:3" x14ac:dyDescent="0.25">
      <c r="A14" t="s">
        <v>47</v>
      </c>
      <c r="B14" s="10">
        <f>SUM(B12:B13)</f>
        <v>50000000</v>
      </c>
    </row>
    <row r="16" spans="1:3" ht="72.75" customHeight="1" x14ac:dyDescent="0.25">
      <c r="A16" s="29" t="s">
        <v>49</v>
      </c>
    </row>
    <row r="17" spans="1:1" ht="117.75" customHeight="1" x14ac:dyDescent="0.25">
      <c r="A17" s="29" t="s">
        <v>50</v>
      </c>
    </row>
    <row r="18" spans="1:1" ht="294" customHeight="1" x14ac:dyDescent="0.25">
      <c r="A18" s="29" t="s">
        <v>52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b6fdda3f-dc7e-4d75-bc5d-b48751a2931a"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1E3FF8C1F6EC7B42AB6A2E35CA60440C" ma:contentTypeVersion="9" ma:contentTypeDescription="Create a new document." ma:contentTypeScope="" ma:versionID="49567dd2eac4ce69e9a30043fc3c9250">
  <xsd:schema xmlns:xsd="http://www.w3.org/2001/XMLSchema" xmlns:xs="http://www.w3.org/2001/XMLSchema" xmlns:p="http://schemas.microsoft.com/office/2006/metadata/properties" xmlns:ns3="b6fdda3f-dc7e-4d75-bc5d-b48751a2931a" targetNamespace="http://schemas.microsoft.com/office/2006/metadata/properties" ma:root="true" ma:fieldsID="c1bbc5d3635b7e8457b9d8c0a4dbe755" ns3:_="">
    <xsd:import namespace="b6fdda3f-dc7e-4d75-bc5d-b48751a2931a"/>
    <xsd:element name="properties">
      <xsd:complexType>
        <xsd:sequence>
          <xsd:element name="documentManagement">
            <xsd:complexType>
              <xsd:all>
                <xsd:element ref="ns3:MediaServiceDateTaken" minOccurs="0"/>
                <xsd:element ref="ns3:_activity" minOccurs="0"/>
                <xsd:element ref="ns3:MediaServiceMetadata" minOccurs="0"/>
                <xsd:element ref="ns3:MediaServiceFastMetadata" minOccurs="0"/>
                <xsd:element ref="ns3:MediaServiceSearchProperties" minOccurs="0"/>
                <xsd:element ref="ns3:MediaServiceSystemTags" minOccurs="0"/>
                <xsd:element ref="ns3:MediaServiceGenerationTime" minOccurs="0"/>
                <xsd:element ref="ns3:MediaServiceEventHashCode"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6fdda3f-dc7e-4d75-bc5d-b48751a2931a"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_activity" ma:index="9" nillable="true" ma:displayName="_activity" ma:hidden="true" ma:internalName="_activity">
      <xsd:simpleType>
        <xsd:restriction base="dms:Note"/>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98A8209-FD6E-46CB-9051-4007BEB72960}">
  <ds:schemaRefs>
    <ds:schemaRef ds:uri="http://schemas.microsoft.com/office/2006/metadata/properties"/>
    <ds:schemaRef ds:uri="http://schemas.microsoft.com/office/infopath/2007/PartnerControls"/>
    <ds:schemaRef ds:uri="b6fdda3f-dc7e-4d75-bc5d-b48751a2931a"/>
  </ds:schemaRefs>
</ds:datastoreItem>
</file>

<file path=customXml/itemProps2.xml><?xml version="1.0" encoding="utf-8"?>
<ds:datastoreItem xmlns:ds="http://schemas.openxmlformats.org/officeDocument/2006/customXml" ds:itemID="{1AA63C33-7B0C-4052-92E0-3DD4D16AFA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6fdda3f-dc7e-4d75-bc5d-b48751a2931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47DF821-C2BF-4108-A6FB-F6393AF2AD4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Estudio de mercado</vt:lpstr>
      <vt:lpstr>Presupuesto Oficial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Cristian David Celis Izquierdo</dc:creator>
  <cp:keywords/>
  <dc:description/>
  <cp:lastModifiedBy>Ivonne Katherine Cano Barajas</cp:lastModifiedBy>
  <cp:revision/>
  <dcterms:created xsi:type="dcterms:W3CDTF">2026-07-09T15:05:56Z</dcterms:created>
  <dcterms:modified xsi:type="dcterms:W3CDTF">2026-10-10T04:25:30Z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0x0101001E3FF8C1F6EC7B42AB6A2E35CA60440C</vt:lpwstr>
  </property>
</Properties>
</file>