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RCHIVO DISTRITAL DE BOGOTA\2026\PROCESOS INVERSIÓN\INSUMOS DE EXPOSICIONES\MinimaCuantíaInsumosExposiciones\Documentos y estudios previos\"/>
    </mc:Choice>
  </mc:AlternateContent>
  <bookViews>
    <workbookView xWindow="0" yWindow="0" windowWidth="20490" windowHeight="7650" tabRatio="657"/>
  </bookViews>
  <sheets>
    <sheet name="Impresiones" sheetId="2" r:id="rId1"/>
    <sheet name="Panelería y Mobiliario" sheetId="3" r:id="rId2"/>
    <sheet name="Montaje" sheetId="4" r:id="rId3"/>
    <sheet name="Equipos Audio" sheetId="5" r:id="rId4"/>
  </sheets>
  <definedNames>
    <definedName name="_xlnm.Print_Area" localSheetId="1">'Panelería y Mobiliario'!$A$1:$AA$28</definedName>
    <definedName name="Decision">#REF!</definedName>
    <definedName name="Valoracion">#REF!</definedName>
    <definedName name="VALORACIÓN">#REF!</definedName>
  </definedNames>
  <calcPr calcId="162913"/>
</workbook>
</file>

<file path=xl/calcChain.xml><?xml version="1.0" encoding="utf-8"?>
<calcChain xmlns="http://schemas.openxmlformats.org/spreadsheetml/2006/main">
  <c r="AE36" i="4" l="1"/>
  <c r="AE27" i="3"/>
  <c r="AH19" i="2"/>
  <c r="AL26" i="3" l="1"/>
  <c r="AK26" i="3"/>
  <c r="AO26" i="3" s="1"/>
  <c r="AN26" i="3" l="1"/>
  <c r="AB19" i="2"/>
  <c r="AB22" i="5" l="1"/>
  <c r="X22" i="5"/>
  <c r="Y22" i="5" s="1"/>
  <c r="Z22" i="5" s="1"/>
  <c r="AA22" i="5" s="1"/>
  <c r="U22" i="5"/>
  <c r="Q22" i="5"/>
  <c r="N22" i="5"/>
  <c r="O22" i="5" s="1"/>
  <c r="P22" i="5" s="1"/>
  <c r="J22" i="5"/>
  <c r="K22" i="5" s="1"/>
  <c r="L22" i="5" s="1"/>
  <c r="F22" i="5"/>
  <c r="G22" i="5" s="1"/>
  <c r="H22" i="5" s="1"/>
  <c r="AB21" i="5"/>
  <c r="X21" i="5"/>
  <c r="U21" i="5"/>
  <c r="Q21" i="5"/>
  <c r="N21" i="5"/>
  <c r="O21" i="5" s="1"/>
  <c r="P21" i="5" s="1"/>
  <c r="J21" i="5"/>
  <c r="K21" i="5" s="1"/>
  <c r="L21" i="5" s="1"/>
  <c r="F21" i="5"/>
  <c r="G21" i="5" s="1"/>
  <c r="H21" i="5" s="1"/>
  <c r="AB20" i="5"/>
  <c r="X20" i="5"/>
  <c r="U20" i="5"/>
  <c r="Q20" i="5"/>
  <c r="R20" i="5" s="1"/>
  <c r="S20" i="5" s="1"/>
  <c r="T20" i="5" s="1"/>
  <c r="N20" i="5"/>
  <c r="O20" i="5" s="1"/>
  <c r="P20" i="5" s="1"/>
  <c r="J20" i="5"/>
  <c r="K20" i="5" s="1"/>
  <c r="L20" i="5" s="1"/>
  <c r="F20" i="5"/>
  <c r="G20" i="5" s="1"/>
  <c r="H20" i="5" s="1"/>
  <c r="AB19" i="5"/>
  <c r="X19" i="5"/>
  <c r="U19" i="5"/>
  <c r="Q19" i="5"/>
  <c r="N19" i="5"/>
  <c r="O19" i="5" s="1"/>
  <c r="P19" i="5" s="1"/>
  <c r="J19" i="5"/>
  <c r="K19" i="5" s="1"/>
  <c r="L19" i="5" s="1"/>
  <c r="F19" i="5"/>
  <c r="G19" i="5" s="1"/>
  <c r="H19" i="5" s="1"/>
  <c r="AI35" i="4"/>
  <c r="AE35" i="4"/>
  <c r="AB35" i="4"/>
  <c r="X35" i="4"/>
  <c r="Y35" i="4" s="1"/>
  <c r="Z35" i="4" s="1"/>
  <c r="AA35" i="4" s="1"/>
  <c r="T35" i="4"/>
  <c r="N35" i="4"/>
  <c r="O35" i="4" s="1"/>
  <c r="P35" i="4" s="1"/>
  <c r="J35" i="4"/>
  <c r="K35" i="4" s="1"/>
  <c r="L35" i="4" s="1"/>
  <c r="F35" i="4"/>
  <c r="G35" i="4" s="1"/>
  <c r="H35" i="4" s="1"/>
  <c r="AI34" i="4"/>
  <c r="AE34" i="4"/>
  <c r="AF34" i="4" s="1"/>
  <c r="AB34" i="4"/>
  <c r="X34" i="4"/>
  <c r="T34" i="4"/>
  <c r="N34" i="4"/>
  <c r="O34" i="4" s="1"/>
  <c r="P34" i="4" s="1"/>
  <c r="J34" i="4"/>
  <c r="K34" i="4" s="1"/>
  <c r="L34" i="4" s="1"/>
  <c r="F34" i="4"/>
  <c r="G34" i="4" s="1"/>
  <c r="H34" i="4" s="1"/>
  <c r="AI33" i="4"/>
  <c r="AE33" i="4"/>
  <c r="AB33" i="4"/>
  <c r="X33" i="4"/>
  <c r="Y33" i="4" s="1"/>
  <c r="T33" i="4"/>
  <c r="N33" i="4"/>
  <c r="O33" i="4" s="1"/>
  <c r="P33" i="4" s="1"/>
  <c r="J33" i="4"/>
  <c r="K33" i="4" s="1"/>
  <c r="L33" i="4" s="1"/>
  <c r="F33" i="4"/>
  <c r="G33" i="4" s="1"/>
  <c r="H33" i="4" s="1"/>
  <c r="AI32" i="4"/>
  <c r="AE32" i="4"/>
  <c r="AF32" i="4" s="1"/>
  <c r="AB32" i="4"/>
  <c r="X32" i="4"/>
  <c r="T32" i="4"/>
  <c r="U32" i="4" s="1"/>
  <c r="V32" i="4" s="1"/>
  <c r="W32" i="4" s="1"/>
  <c r="N32" i="4"/>
  <c r="O32" i="4" s="1"/>
  <c r="P32" i="4" s="1"/>
  <c r="J32" i="4"/>
  <c r="K32" i="4" s="1"/>
  <c r="L32" i="4" s="1"/>
  <c r="F32" i="4"/>
  <c r="G32" i="4" s="1"/>
  <c r="H32" i="4" s="1"/>
  <c r="AB31" i="4"/>
  <c r="X31" i="4"/>
  <c r="Y31" i="4" s="1"/>
  <c r="T31" i="4"/>
  <c r="U31" i="4" s="1"/>
  <c r="V31" i="4" s="1"/>
  <c r="W31" i="4" s="1"/>
  <c r="N31" i="4"/>
  <c r="O31" i="4" s="1"/>
  <c r="P31" i="4" s="1"/>
  <c r="J31" i="4"/>
  <c r="K31" i="4" s="1"/>
  <c r="L31" i="4" s="1"/>
  <c r="F31" i="4"/>
  <c r="G31" i="4" s="1"/>
  <c r="H31" i="4" s="1"/>
  <c r="AB30" i="4"/>
  <c r="X30" i="4"/>
  <c r="Y30" i="4" s="1"/>
  <c r="Z30" i="4" s="1"/>
  <c r="AA30" i="4" s="1"/>
  <c r="T30" i="4"/>
  <c r="AK30" i="4" s="1"/>
  <c r="N30" i="4"/>
  <c r="O30" i="4" s="1"/>
  <c r="P30" i="4" s="1"/>
  <c r="J30" i="4"/>
  <c r="K30" i="4" s="1"/>
  <c r="L30" i="4" s="1"/>
  <c r="F30" i="4"/>
  <c r="G30" i="4" s="1"/>
  <c r="H30" i="4" s="1"/>
  <c r="AI29" i="4"/>
  <c r="AE29" i="4"/>
  <c r="AF29" i="4" s="1"/>
  <c r="AB29" i="4"/>
  <c r="X29" i="4"/>
  <c r="Y29" i="4" s="1"/>
  <c r="Z29" i="4" s="1"/>
  <c r="AA29" i="4" s="1"/>
  <c r="T29" i="4"/>
  <c r="N29" i="4"/>
  <c r="O29" i="4" s="1"/>
  <c r="P29" i="4" s="1"/>
  <c r="J29" i="4"/>
  <c r="K29" i="4" s="1"/>
  <c r="L29" i="4" s="1"/>
  <c r="F29" i="4"/>
  <c r="G29" i="4" s="1"/>
  <c r="H29" i="4" s="1"/>
  <c r="AB28" i="4"/>
  <c r="X28" i="4"/>
  <c r="Y28" i="4" s="1"/>
  <c r="T28" i="4"/>
  <c r="U28" i="4" s="1"/>
  <c r="N28" i="4"/>
  <c r="O28" i="4" s="1"/>
  <c r="P28" i="4" s="1"/>
  <c r="J28" i="4"/>
  <c r="K28" i="4" s="1"/>
  <c r="L28" i="4" s="1"/>
  <c r="F28" i="4"/>
  <c r="G28" i="4" s="1"/>
  <c r="H28" i="4" s="1"/>
  <c r="AB27" i="4"/>
  <c r="X27" i="4"/>
  <c r="Y27" i="4" s="1"/>
  <c r="T27" i="4"/>
  <c r="U27" i="4" s="1"/>
  <c r="N27" i="4"/>
  <c r="O27" i="4" s="1"/>
  <c r="P27" i="4" s="1"/>
  <c r="J27" i="4"/>
  <c r="K27" i="4" s="1"/>
  <c r="L27" i="4" s="1"/>
  <c r="F27" i="4"/>
  <c r="G27" i="4" s="1"/>
  <c r="H27" i="4" s="1"/>
  <c r="AB26" i="4"/>
  <c r="X26" i="4"/>
  <c r="Y26" i="4" s="1"/>
  <c r="T26" i="4"/>
  <c r="AL26" i="4" s="1"/>
  <c r="N26" i="4"/>
  <c r="O26" i="4" s="1"/>
  <c r="P26" i="4" s="1"/>
  <c r="J26" i="4"/>
  <c r="K26" i="4" s="1"/>
  <c r="L26" i="4" s="1"/>
  <c r="F26" i="4"/>
  <c r="G26" i="4" s="1"/>
  <c r="H26" i="4" s="1"/>
  <c r="AI25" i="4"/>
  <c r="AE25" i="4"/>
  <c r="AF25" i="4" s="1"/>
  <c r="AB25" i="4"/>
  <c r="X25" i="4"/>
  <c r="Y25" i="4" s="1"/>
  <c r="T25" i="4"/>
  <c r="U25" i="4" s="1"/>
  <c r="N25" i="4"/>
  <c r="O25" i="4" s="1"/>
  <c r="P25" i="4" s="1"/>
  <c r="J25" i="4"/>
  <c r="K25" i="4" s="1"/>
  <c r="L25" i="4" s="1"/>
  <c r="F25" i="4"/>
  <c r="G25" i="4" s="1"/>
  <c r="H25" i="4" s="1"/>
  <c r="AI24" i="4"/>
  <c r="AE24" i="4"/>
  <c r="AB24" i="4"/>
  <c r="X24" i="4"/>
  <c r="Y24" i="4" s="1"/>
  <c r="T24" i="4"/>
  <c r="N24" i="4"/>
  <c r="O24" i="4" s="1"/>
  <c r="P24" i="4" s="1"/>
  <c r="J24" i="4"/>
  <c r="K24" i="4" s="1"/>
  <c r="L24" i="4" s="1"/>
  <c r="F24" i="4"/>
  <c r="G24" i="4" s="1"/>
  <c r="H24" i="4" s="1"/>
  <c r="AB23" i="4"/>
  <c r="X23" i="4"/>
  <c r="Y23" i="4" s="1"/>
  <c r="T23" i="4"/>
  <c r="N23" i="4"/>
  <c r="O23" i="4" s="1"/>
  <c r="P23" i="4" s="1"/>
  <c r="J23" i="4"/>
  <c r="K23" i="4" s="1"/>
  <c r="L23" i="4" s="1"/>
  <c r="F23" i="4"/>
  <c r="G23" i="4" s="1"/>
  <c r="H23" i="4" s="1"/>
  <c r="AI22" i="4"/>
  <c r="AE22" i="4"/>
  <c r="AB22" i="4"/>
  <c r="X22" i="4"/>
  <c r="T22" i="4"/>
  <c r="N22" i="4"/>
  <c r="O22" i="4" s="1"/>
  <c r="P22" i="4" s="1"/>
  <c r="J22" i="4"/>
  <c r="K22" i="4" s="1"/>
  <c r="L22" i="4" s="1"/>
  <c r="F22" i="4"/>
  <c r="G22" i="4" s="1"/>
  <c r="H22" i="4" s="1"/>
  <c r="AI21" i="4"/>
  <c r="AE21" i="4"/>
  <c r="AB21" i="4"/>
  <c r="X21" i="4"/>
  <c r="Y21" i="4" s="1"/>
  <c r="T21" i="4"/>
  <c r="N21" i="4"/>
  <c r="O21" i="4" s="1"/>
  <c r="P21" i="4" s="1"/>
  <c r="J21" i="4"/>
  <c r="K21" i="4" s="1"/>
  <c r="L21" i="4" s="1"/>
  <c r="F21" i="4"/>
  <c r="G21" i="4" s="1"/>
  <c r="H21" i="4" s="1"/>
  <c r="AB20" i="4"/>
  <c r="X20" i="4"/>
  <c r="Y20" i="4" s="1"/>
  <c r="T20" i="4"/>
  <c r="AK20" i="4" s="1"/>
  <c r="N20" i="4"/>
  <c r="O20" i="4" s="1"/>
  <c r="P20" i="4" s="1"/>
  <c r="J20" i="4"/>
  <c r="K20" i="4" s="1"/>
  <c r="L20" i="4" s="1"/>
  <c r="F20" i="4"/>
  <c r="G20" i="4" s="1"/>
  <c r="H20" i="4" s="1"/>
  <c r="AI19" i="4"/>
  <c r="AE19" i="4"/>
  <c r="AB19" i="4"/>
  <c r="X19" i="4"/>
  <c r="T19" i="4"/>
  <c r="N19" i="4"/>
  <c r="O19" i="4" s="1"/>
  <c r="P19" i="4" s="1"/>
  <c r="J19" i="4"/>
  <c r="K19" i="4" s="1"/>
  <c r="L19" i="4" s="1"/>
  <c r="F19" i="4"/>
  <c r="G19" i="4" s="1"/>
  <c r="H19" i="4" s="1"/>
  <c r="AB26" i="3"/>
  <c r="X26" i="3"/>
  <c r="W26" i="3"/>
  <c r="N26" i="3"/>
  <c r="O26" i="3" s="1"/>
  <c r="P26" i="3" s="1"/>
  <c r="J26" i="3"/>
  <c r="K26" i="3" s="1"/>
  <c r="L26" i="3" s="1"/>
  <c r="F26" i="3"/>
  <c r="G26" i="3" s="1"/>
  <c r="H26" i="3" s="1"/>
  <c r="AB25" i="3"/>
  <c r="X25" i="3"/>
  <c r="Y25" i="3" s="1"/>
  <c r="Z25" i="3" s="1"/>
  <c r="AA25" i="3" s="1"/>
  <c r="T25" i="3"/>
  <c r="AL25" i="3" s="1"/>
  <c r="N25" i="3"/>
  <c r="O25" i="3" s="1"/>
  <c r="P25" i="3" s="1"/>
  <c r="J25" i="3"/>
  <c r="K25" i="3" s="1"/>
  <c r="L25" i="3" s="1"/>
  <c r="F25" i="3"/>
  <c r="G25" i="3" s="1"/>
  <c r="H25" i="3" s="1"/>
  <c r="AB24" i="3"/>
  <c r="X24" i="3"/>
  <c r="Y24" i="3" s="1"/>
  <c r="T24" i="3"/>
  <c r="AL24" i="3" s="1"/>
  <c r="N24" i="3"/>
  <c r="O24" i="3" s="1"/>
  <c r="P24" i="3" s="1"/>
  <c r="J24" i="3"/>
  <c r="K24" i="3" s="1"/>
  <c r="L24" i="3" s="1"/>
  <c r="F24" i="3"/>
  <c r="G24" i="3" s="1"/>
  <c r="H24" i="3" s="1"/>
  <c r="AB23" i="3"/>
  <c r="X23" i="3"/>
  <c r="Y23" i="3" s="1"/>
  <c r="T23" i="3"/>
  <c r="N23" i="3"/>
  <c r="O23" i="3" s="1"/>
  <c r="P23" i="3" s="1"/>
  <c r="J23" i="3"/>
  <c r="K23" i="3" s="1"/>
  <c r="L23" i="3" s="1"/>
  <c r="F23" i="3"/>
  <c r="G23" i="3" s="1"/>
  <c r="H23" i="3" s="1"/>
  <c r="AI22" i="3"/>
  <c r="AE22" i="3"/>
  <c r="AF22" i="3" s="1"/>
  <c r="AB22" i="3"/>
  <c r="X22" i="3"/>
  <c r="Y22" i="3" s="1"/>
  <c r="T22" i="3"/>
  <c r="N22" i="3"/>
  <c r="O22" i="3" s="1"/>
  <c r="P22" i="3" s="1"/>
  <c r="J22" i="3"/>
  <c r="K22" i="3" s="1"/>
  <c r="L22" i="3" s="1"/>
  <c r="F22" i="3"/>
  <c r="G22" i="3" s="1"/>
  <c r="H22" i="3" s="1"/>
  <c r="AB21" i="3"/>
  <c r="X21" i="3"/>
  <c r="Y21" i="3" s="1"/>
  <c r="T21" i="3"/>
  <c r="AK21" i="3" s="1"/>
  <c r="N21" i="3"/>
  <c r="O21" i="3" s="1"/>
  <c r="P21" i="3" s="1"/>
  <c r="J21" i="3"/>
  <c r="K21" i="3" s="1"/>
  <c r="L21" i="3" s="1"/>
  <c r="F21" i="3"/>
  <c r="G21" i="3" s="1"/>
  <c r="H21" i="3" s="1"/>
  <c r="AI20" i="3"/>
  <c r="AE20" i="3"/>
  <c r="AB20" i="3"/>
  <c r="X20" i="3"/>
  <c r="T20" i="3"/>
  <c r="N20" i="3"/>
  <c r="O20" i="3" s="1"/>
  <c r="P20" i="3" s="1"/>
  <c r="J20" i="3"/>
  <c r="K20" i="3" s="1"/>
  <c r="L20" i="3" s="1"/>
  <c r="F20" i="3"/>
  <c r="G20" i="3" s="1"/>
  <c r="H20" i="3" s="1"/>
  <c r="AB19" i="3"/>
  <c r="X19" i="3"/>
  <c r="Y19" i="3" s="1"/>
  <c r="T19" i="3"/>
  <c r="AK19" i="3" s="1"/>
  <c r="N19" i="3"/>
  <c r="O19" i="3" s="1"/>
  <c r="P19" i="3" s="1"/>
  <c r="J19" i="3"/>
  <c r="K19" i="3" s="1"/>
  <c r="L19" i="3" s="1"/>
  <c r="F19" i="3"/>
  <c r="G19" i="3" s="1"/>
  <c r="H19" i="3" s="1"/>
  <c r="AB42" i="2"/>
  <c r="X42" i="2"/>
  <c r="T42" i="2"/>
  <c r="AL42" i="2" s="1"/>
  <c r="N42" i="2"/>
  <c r="O42" i="2" s="1"/>
  <c r="P42" i="2" s="1"/>
  <c r="J42" i="2"/>
  <c r="K42" i="2" s="1"/>
  <c r="L42" i="2" s="1"/>
  <c r="F42" i="2"/>
  <c r="G42" i="2" s="1"/>
  <c r="H42" i="2" s="1"/>
  <c r="AI41" i="2"/>
  <c r="AE41" i="2"/>
  <c r="AB41" i="2"/>
  <c r="X41" i="2"/>
  <c r="Y41" i="2" s="1"/>
  <c r="Z41" i="2" s="1"/>
  <c r="AA41" i="2" s="1"/>
  <c r="T41" i="2"/>
  <c r="N41" i="2"/>
  <c r="O41" i="2" s="1"/>
  <c r="P41" i="2" s="1"/>
  <c r="J41" i="2"/>
  <c r="K41" i="2" s="1"/>
  <c r="L41" i="2" s="1"/>
  <c r="F41" i="2"/>
  <c r="G41" i="2" s="1"/>
  <c r="H41" i="2" s="1"/>
  <c r="AI40" i="2"/>
  <c r="AE40" i="2"/>
  <c r="AB40" i="2"/>
  <c r="X40" i="2"/>
  <c r="T40" i="2"/>
  <c r="N40" i="2"/>
  <c r="O40" i="2" s="1"/>
  <c r="P40" i="2" s="1"/>
  <c r="J40" i="2"/>
  <c r="K40" i="2" s="1"/>
  <c r="L40" i="2" s="1"/>
  <c r="F40" i="2"/>
  <c r="G40" i="2" s="1"/>
  <c r="H40" i="2" s="1"/>
  <c r="AI39" i="2"/>
  <c r="AE39" i="2"/>
  <c r="AB39" i="2"/>
  <c r="X39" i="2"/>
  <c r="Y39" i="2" s="1"/>
  <c r="Z39" i="2" s="1"/>
  <c r="AA39" i="2" s="1"/>
  <c r="T39" i="2"/>
  <c r="N39" i="2"/>
  <c r="O39" i="2" s="1"/>
  <c r="P39" i="2" s="1"/>
  <c r="J39" i="2"/>
  <c r="K39" i="2" s="1"/>
  <c r="L39" i="2" s="1"/>
  <c r="F39" i="2"/>
  <c r="G39" i="2" s="1"/>
  <c r="H39" i="2" s="1"/>
  <c r="AI38" i="2"/>
  <c r="AE38" i="2"/>
  <c r="AB38" i="2"/>
  <c r="X38" i="2"/>
  <c r="T38" i="2"/>
  <c r="N38" i="2"/>
  <c r="O38" i="2" s="1"/>
  <c r="P38" i="2" s="1"/>
  <c r="J38" i="2"/>
  <c r="K38" i="2" s="1"/>
  <c r="L38" i="2" s="1"/>
  <c r="F38" i="2"/>
  <c r="G38" i="2" s="1"/>
  <c r="H38" i="2" s="1"/>
  <c r="AI37" i="2"/>
  <c r="AE37" i="2"/>
  <c r="AB37" i="2"/>
  <c r="X37" i="2"/>
  <c r="Y37" i="2" s="1"/>
  <c r="Z37" i="2" s="1"/>
  <c r="AA37" i="2" s="1"/>
  <c r="T37" i="2"/>
  <c r="U37" i="2" s="1"/>
  <c r="N37" i="2"/>
  <c r="O37" i="2" s="1"/>
  <c r="P37" i="2" s="1"/>
  <c r="J37" i="2"/>
  <c r="K37" i="2" s="1"/>
  <c r="L37" i="2" s="1"/>
  <c r="F37" i="2"/>
  <c r="G37" i="2" s="1"/>
  <c r="H37" i="2" s="1"/>
  <c r="AI36" i="2"/>
  <c r="AE36" i="2"/>
  <c r="AB36" i="2"/>
  <c r="X36" i="2"/>
  <c r="T36" i="2"/>
  <c r="N36" i="2"/>
  <c r="O36" i="2" s="1"/>
  <c r="P36" i="2" s="1"/>
  <c r="J36" i="2"/>
  <c r="K36" i="2" s="1"/>
  <c r="L36" i="2" s="1"/>
  <c r="F36" i="2"/>
  <c r="G36" i="2" s="1"/>
  <c r="H36" i="2" s="1"/>
  <c r="AB35" i="2"/>
  <c r="X35" i="2"/>
  <c r="Y35" i="2" s="1"/>
  <c r="T35" i="2"/>
  <c r="AK35" i="2" s="1"/>
  <c r="N35" i="2"/>
  <c r="O35" i="2" s="1"/>
  <c r="P35" i="2" s="1"/>
  <c r="J35" i="2"/>
  <c r="K35" i="2" s="1"/>
  <c r="L35" i="2" s="1"/>
  <c r="F35" i="2"/>
  <c r="G35" i="2" s="1"/>
  <c r="H35" i="2" s="1"/>
  <c r="AB34" i="2"/>
  <c r="X34" i="2"/>
  <c r="T34" i="2"/>
  <c r="AK34" i="2" s="1"/>
  <c r="N34" i="2"/>
  <c r="O34" i="2" s="1"/>
  <c r="P34" i="2" s="1"/>
  <c r="J34" i="2"/>
  <c r="K34" i="2" s="1"/>
  <c r="L34" i="2" s="1"/>
  <c r="F34" i="2"/>
  <c r="G34" i="2" s="1"/>
  <c r="H34" i="2" s="1"/>
  <c r="AB33" i="2"/>
  <c r="X33" i="2"/>
  <c r="T33" i="2"/>
  <c r="N33" i="2"/>
  <c r="O33" i="2" s="1"/>
  <c r="P33" i="2" s="1"/>
  <c r="J33" i="2"/>
  <c r="K33" i="2" s="1"/>
  <c r="L33" i="2" s="1"/>
  <c r="F33" i="2"/>
  <c r="G33" i="2" s="1"/>
  <c r="H33" i="2" s="1"/>
  <c r="AB32" i="2"/>
  <c r="X32" i="2"/>
  <c r="Y32" i="2" s="1"/>
  <c r="Z32" i="2" s="1"/>
  <c r="AA32" i="2" s="1"/>
  <c r="T32" i="2"/>
  <c r="AL32" i="2" s="1"/>
  <c r="N32" i="2"/>
  <c r="O32" i="2" s="1"/>
  <c r="P32" i="2" s="1"/>
  <c r="J32" i="2"/>
  <c r="K32" i="2" s="1"/>
  <c r="L32" i="2" s="1"/>
  <c r="F32" i="2"/>
  <c r="G32" i="2" s="1"/>
  <c r="H32" i="2" s="1"/>
  <c r="AI31" i="2"/>
  <c r="AE31" i="2"/>
  <c r="AF31" i="2" s="1"/>
  <c r="AG31" i="2" s="1"/>
  <c r="AH31" i="2" s="1"/>
  <c r="AB31" i="2"/>
  <c r="X31" i="2"/>
  <c r="T31" i="2"/>
  <c r="N31" i="2"/>
  <c r="O31" i="2" s="1"/>
  <c r="P31" i="2" s="1"/>
  <c r="J31" i="2"/>
  <c r="K31" i="2" s="1"/>
  <c r="L31" i="2" s="1"/>
  <c r="F31" i="2"/>
  <c r="G31" i="2" s="1"/>
  <c r="H31" i="2" s="1"/>
  <c r="AI30" i="2"/>
  <c r="AE30" i="2"/>
  <c r="AF30" i="2" s="1"/>
  <c r="AG30" i="2" s="1"/>
  <c r="AH30" i="2" s="1"/>
  <c r="AB30" i="2"/>
  <c r="X30" i="2"/>
  <c r="Y30" i="2" s="1"/>
  <c r="Z30" i="2" s="1"/>
  <c r="AA30" i="2" s="1"/>
  <c r="T30" i="2"/>
  <c r="N30" i="2"/>
  <c r="O30" i="2" s="1"/>
  <c r="P30" i="2" s="1"/>
  <c r="J30" i="2"/>
  <c r="K30" i="2" s="1"/>
  <c r="L30" i="2" s="1"/>
  <c r="F30" i="2"/>
  <c r="G30" i="2" s="1"/>
  <c r="H30" i="2" s="1"/>
  <c r="AI29" i="2"/>
  <c r="AE29" i="2"/>
  <c r="AF29" i="2" s="1"/>
  <c r="AG29" i="2" s="1"/>
  <c r="AH29" i="2" s="1"/>
  <c r="AB29" i="2"/>
  <c r="X29" i="2"/>
  <c r="Y29" i="2" s="1"/>
  <c r="Z29" i="2" s="1"/>
  <c r="AA29" i="2" s="1"/>
  <c r="T29" i="2"/>
  <c r="N29" i="2"/>
  <c r="O29" i="2" s="1"/>
  <c r="P29" i="2" s="1"/>
  <c r="J29" i="2"/>
  <c r="K29" i="2" s="1"/>
  <c r="L29" i="2" s="1"/>
  <c r="F29" i="2"/>
  <c r="G29" i="2" s="1"/>
  <c r="H29" i="2" s="1"/>
  <c r="AI28" i="2"/>
  <c r="AE28" i="2"/>
  <c r="AF28" i="2" s="1"/>
  <c r="AB28" i="2"/>
  <c r="X28" i="2"/>
  <c r="T28" i="2"/>
  <c r="N28" i="2"/>
  <c r="O28" i="2" s="1"/>
  <c r="P28" i="2" s="1"/>
  <c r="J28" i="2"/>
  <c r="K28" i="2" s="1"/>
  <c r="L28" i="2" s="1"/>
  <c r="F28" i="2"/>
  <c r="G28" i="2" s="1"/>
  <c r="H28" i="2" s="1"/>
  <c r="AB27" i="2"/>
  <c r="X27" i="2"/>
  <c r="T27" i="2"/>
  <c r="AL27" i="2" s="1"/>
  <c r="N27" i="2"/>
  <c r="O27" i="2" s="1"/>
  <c r="P27" i="2" s="1"/>
  <c r="J27" i="2"/>
  <c r="K27" i="2" s="1"/>
  <c r="L27" i="2" s="1"/>
  <c r="F27" i="2"/>
  <c r="G27" i="2" s="1"/>
  <c r="H27" i="2" s="1"/>
  <c r="AB26" i="2"/>
  <c r="X26" i="2"/>
  <c r="T26" i="2"/>
  <c r="AK26" i="2" s="1"/>
  <c r="N26" i="2"/>
  <c r="O26" i="2" s="1"/>
  <c r="P26" i="2" s="1"/>
  <c r="J26" i="2"/>
  <c r="K26" i="2" s="1"/>
  <c r="L26" i="2" s="1"/>
  <c r="F26" i="2"/>
  <c r="G26" i="2" s="1"/>
  <c r="H26" i="2" s="1"/>
  <c r="AB25" i="2"/>
  <c r="X25" i="2"/>
  <c r="Y25" i="2" s="1"/>
  <c r="Z25" i="2" s="1"/>
  <c r="AA25" i="2" s="1"/>
  <c r="T25" i="2"/>
  <c r="U25" i="2" s="1"/>
  <c r="V25" i="2" s="1"/>
  <c r="W25" i="2" s="1"/>
  <c r="N25" i="2"/>
  <c r="O25" i="2" s="1"/>
  <c r="P25" i="2" s="1"/>
  <c r="J25" i="2"/>
  <c r="K25" i="2" s="1"/>
  <c r="L25" i="2" s="1"/>
  <c r="F25" i="2"/>
  <c r="G25" i="2" s="1"/>
  <c r="H25" i="2" s="1"/>
  <c r="AB24" i="2"/>
  <c r="X24" i="2"/>
  <c r="Y24" i="2" s="1"/>
  <c r="Z24" i="2" s="1"/>
  <c r="AA24" i="2" s="1"/>
  <c r="T24" i="2"/>
  <c r="U24" i="2" s="1"/>
  <c r="N24" i="2"/>
  <c r="O24" i="2" s="1"/>
  <c r="P24" i="2" s="1"/>
  <c r="J24" i="2"/>
  <c r="K24" i="2" s="1"/>
  <c r="L24" i="2" s="1"/>
  <c r="F24" i="2"/>
  <c r="G24" i="2" s="1"/>
  <c r="H24" i="2" s="1"/>
  <c r="AI23" i="2"/>
  <c r="AE23" i="2"/>
  <c r="AF23" i="2" s="1"/>
  <c r="AB23" i="2"/>
  <c r="X23" i="2"/>
  <c r="Y23" i="2" s="1"/>
  <c r="T23" i="2"/>
  <c r="N23" i="2"/>
  <c r="O23" i="2" s="1"/>
  <c r="P23" i="2" s="1"/>
  <c r="J23" i="2"/>
  <c r="K23" i="2" s="1"/>
  <c r="L23" i="2" s="1"/>
  <c r="F23" i="2"/>
  <c r="G23" i="2" s="1"/>
  <c r="H23" i="2" s="1"/>
  <c r="AI22" i="2"/>
  <c r="AE22" i="2"/>
  <c r="AB22" i="2"/>
  <c r="X22" i="2"/>
  <c r="Y22" i="2" s="1"/>
  <c r="T22" i="2"/>
  <c r="N22" i="2"/>
  <c r="O22" i="2" s="1"/>
  <c r="P22" i="2" s="1"/>
  <c r="J22" i="2"/>
  <c r="K22" i="2" s="1"/>
  <c r="L22" i="2" s="1"/>
  <c r="F22" i="2"/>
  <c r="G22" i="2" s="1"/>
  <c r="H22" i="2" s="1"/>
  <c r="AI21" i="2"/>
  <c r="AE21" i="2"/>
  <c r="AF21" i="2" s="1"/>
  <c r="AB21" i="2"/>
  <c r="X21" i="2"/>
  <c r="Y21" i="2" s="1"/>
  <c r="T21" i="2"/>
  <c r="N21" i="2"/>
  <c r="O21" i="2" s="1"/>
  <c r="P21" i="2" s="1"/>
  <c r="J21" i="2"/>
  <c r="K21" i="2" s="1"/>
  <c r="L21" i="2" s="1"/>
  <c r="F21" i="2"/>
  <c r="G21" i="2" s="1"/>
  <c r="H21" i="2" s="1"/>
  <c r="AI20" i="2"/>
  <c r="AE20" i="2"/>
  <c r="AF20" i="2" s="1"/>
  <c r="AB20" i="2"/>
  <c r="X20" i="2"/>
  <c r="Y20" i="2" s="1"/>
  <c r="T20" i="2"/>
  <c r="U20" i="2" s="1"/>
  <c r="N20" i="2"/>
  <c r="O20" i="2" s="1"/>
  <c r="P20" i="2" s="1"/>
  <c r="J20" i="2"/>
  <c r="K20" i="2" s="1"/>
  <c r="L20" i="2" s="1"/>
  <c r="F20" i="2"/>
  <c r="G20" i="2" s="1"/>
  <c r="H20" i="2" s="1"/>
  <c r="AI19" i="2"/>
  <c r="AE19" i="2"/>
  <c r="AF19" i="2" s="1"/>
  <c r="X19" i="2"/>
  <c r="AC19" i="2" s="1"/>
  <c r="T19" i="2"/>
  <c r="N19" i="2"/>
  <c r="O19" i="2" s="1"/>
  <c r="P19" i="2" s="1"/>
  <c r="J19" i="2"/>
  <c r="K19" i="2" s="1"/>
  <c r="L19" i="2" s="1"/>
  <c r="F19" i="2"/>
  <c r="G19" i="2" s="1"/>
  <c r="H19" i="2" s="1"/>
  <c r="Y19" i="2" l="1"/>
  <c r="Z19" i="2" s="1"/>
  <c r="AA19" i="2" s="1"/>
  <c r="AB43" i="2"/>
  <c r="V28" i="4"/>
  <c r="W28" i="4" s="1"/>
  <c r="V21" i="5"/>
  <c r="AG32" i="4"/>
  <c r="AH32" i="4" s="1"/>
  <c r="U21" i="3"/>
  <c r="V21" i="3" s="1"/>
  <c r="W21" i="3" s="1"/>
  <c r="AC21" i="3"/>
  <c r="AL20" i="4"/>
  <c r="U20" i="4"/>
  <c r="V20" i="4" s="1"/>
  <c r="W20" i="4" s="1"/>
  <c r="AC22" i="4"/>
  <c r="AC31" i="2"/>
  <c r="AL30" i="4"/>
  <c r="U24" i="4"/>
  <c r="AL19" i="3"/>
  <c r="AL31" i="4"/>
  <c r="AK23" i="3"/>
  <c r="AL23" i="3"/>
  <c r="E23" i="5"/>
  <c r="AL28" i="4"/>
  <c r="U34" i="4"/>
  <c r="V34" i="4" s="1"/>
  <c r="W34" i="4" s="1"/>
  <c r="AL27" i="4"/>
  <c r="AL21" i="3"/>
  <c r="AL23" i="4"/>
  <c r="AC20" i="2"/>
  <c r="AC32" i="4"/>
  <c r="V22" i="5"/>
  <c r="V20" i="5"/>
  <c r="AC19" i="4"/>
  <c r="V25" i="4"/>
  <c r="W25" i="4" s="1"/>
  <c r="AC21" i="4"/>
  <c r="AC30" i="4"/>
  <c r="Y19" i="4"/>
  <c r="Z19" i="4" s="1"/>
  <c r="AA19" i="4" s="1"/>
  <c r="AF19" i="4"/>
  <c r="AG19" i="4" s="1"/>
  <c r="AH19" i="4" s="1"/>
  <c r="Z20" i="4"/>
  <c r="AA20" i="4" s="1"/>
  <c r="U22" i="4"/>
  <c r="V27" i="4"/>
  <c r="W27" i="4" s="1"/>
  <c r="AG29" i="4"/>
  <c r="AH29" i="4" s="1"/>
  <c r="AC34" i="4"/>
  <c r="AC27" i="4"/>
  <c r="Z28" i="4"/>
  <c r="AA28" i="4" s="1"/>
  <c r="AK28" i="4"/>
  <c r="AC29" i="4"/>
  <c r="AK31" i="4"/>
  <c r="AC33" i="4"/>
  <c r="AG34" i="4"/>
  <c r="AH34" i="4" s="1"/>
  <c r="I36" i="4"/>
  <c r="Z23" i="4"/>
  <c r="AA23" i="4" s="1"/>
  <c r="Z26" i="4"/>
  <c r="AA26" i="4" s="1"/>
  <c r="Z27" i="4"/>
  <c r="AA27" i="4" s="1"/>
  <c r="AC23" i="4"/>
  <c r="AC28" i="4"/>
  <c r="AK27" i="4"/>
  <c r="Z33" i="4"/>
  <c r="AA33" i="4" s="1"/>
  <c r="U19" i="4"/>
  <c r="V19" i="4" s="1"/>
  <c r="W19" i="4" s="1"/>
  <c r="Z24" i="4"/>
  <c r="AA24" i="4" s="1"/>
  <c r="AC35" i="4"/>
  <c r="AF22" i="4"/>
  <c r="AG22" i="4" s="1"/>
  <c r="AH22" i="4" s="1"/>
  <c r="AC31" i="4"/>
  <c r="U19" i="3" l="1"/>
  <c r="V19" i="3" s="1"/>
  <c r="W19" i="3" s="1"/>
  <c r="AC22" i="3"/>
  <c r="U20" i="3"/>
  <c r="V20" i="3" s="1"/>
  <c r="W20" i="3" s="1"/>
  <c r="AC20" i="3"/>
  <c r="AC24" i="3"/>
  <c r="AF20" i="3"/>
  <c r="AG20" i="3" s="1"/>
  <c r="AH20" i="3" s="1"/>
  <c r="Z23" i="3"/>
  <c r="AA23" i="3" s="1"/>
  <c r="Y26" i="3"/>
  <c r="Z26" i="3" s="1"/>
  <c r="AA26" i="3" s="1"/>
  <c r="AC23" i="3"/>
  <c r="AC25" i="3"/>
  <c r="AC26" i="3"/>
  <c r="AB27" i="3"/>
  <c r="AC19" i="3"/>
  <c r="Z21" i="3"/>
  <c r="AA21" i="3" s="1"/>
  <c r="U22" i="3"/>
  <c r="AC30" i="2" l="1"/>
  <c r="AK42" i="2"/>
  <c r="AC28" i="2"/>
  <c r="Y31" i="2"/>
  <c r="Z31" i="2" s="1"/>
  <c r="AA31" i="2" s="1"/>
  <c r="U42" i="2"/>
  <c r="V42" i="2" s="1"/>
  <c r="W42" i="2" s="1"/>
  <c r="AL35" i="2"/>
  <c r="AL34" i="2"/>
  <c r="AL26" i="2"/>
  <c r="AL33" i="2"/>
  <c r="AL25" i="2"/>
  <c r="U30" i="2"/>
  <c r="V30" i="2" s="1"/>
  <c r="W30" i="2" s="1"/>
  <c r="AL24" i="2"/>
  <c r="AC23" i="2"/>
  <c r="AC29" i="2"/>
  <c r="AC33" i="2"/>
  <c r="AC35" i="2"/>
  <c r="AF40" i="2"/>
  <c r="AG40" i="2" s="1"/>
  <c r="AH40" i="2" s="1"/>
  <c r="AC27" i="2"/>
  <c r="AC39" i="2"/>
  <c r="AC42" i="2"/>
  <c r="AC22" i="2"/>
  <c r="AC21" i="2"/>
  <c r="AC24" i="2"/>
  <c r="U19" i="2"/>
  <c r="AC32" i="2"/>
  <c r="AG21" i="2"/>
  <c r="AH21" i="2" s="1"/>
  <c r="AC25" i="2"/>
  <c r="AK33" i="2"/>
  <c r="AC37" i="2"/>
  <c r="U40" i="2"/>
  <c r="V40" i="2" s="1"/>
  <c r="W40" i="2" s="1"/>
  <c r="U22" i="2"/>
  <c r="V22" i="2" s="1"/>
  <c r="W22" i="2" s="1"/>
  <c r="AF22" i="2"/>
  <c r="AG22" i="2" s="1"/>
  <c r="AH22" i="2" s="1"/>
  <c r="U26" i="2"/>
  <c r="V26" i="2" s="1"/>
  <c r="W26" i="2" s="1"/>
  <c r="U28" i="2"/>
  <c r="U35" i="2"/>
  <c r="V35" i="2" s="1"/>
  <c r="W35" i="2" s="1"/>
  <c r="U38" i="2"/>
  <c r="V38" i="2" s="1"/>
  <c r="W38" i="2" s="1"/>
  <c r="AF38" i="2"/>
  <c r="AG38" i="2" s="1"/>
  <c r="AH38" i="2" s="1"/>
  <c r="Z22" i="2"/>
  <c r="AA22" i="2" s="1"/>
  <c r="U23" i="2"/>
  <c r="U31" i="2"/>
  <c r="V31" i="2" s="1"/>
  <c r="W31" i="2" s="1"/>
  <c r="U36" i="2"/>
  <c r="V36" i="2" s="1"/>
  <c r="W36" i="2" s="1"/>
  <c r="AF36" i="2"/>
  <c r="AG36" i="2" s="1"/>
  <c r="AH36" i="2" s="1"/>
  <c r="AC41" i="2"/>
  <c r="V20" i="2"/>
  <c r="W20" i="2" s="1"/>
  <c r="AG20" i="2"/>
  <c r="AH20" i="2" s="1"/>
  <c r="Z23" i="2"/>
  <c r="AA23" i="2" s="1"/>
  <c r="AK25" i="2"/>
  <c r="Y28" i="2"/>
  <c r="Z28" i="2" s="1"/>
  <c r="AA28" i="2" s="1"/>
  <c r="AG28" i="2"/>
  <c r="AH28" i="2" s="1"/>
  <c r="Y33" i="2"/>
  <c r="Z33" i="2" s="1"/>
  <c r="AA33" i="2" s="1"/>
  <c r="V37" i="2"/>
  <c r="W37" i="2" s="1"/>
  <c r="Z21" i="2"/>
  <c r="AA21" i="2" s="1"/>
  <c r="E43" i="2"/>
  <c r="U21" i="2"/>
  <c r="V24" i="2"/>
  <c r="W24" i="2" s="1"/>
  <c r="U29" i="2"/>
  <c r="V29" i="2" s="1"/>
  <c r="W29" i="2" s="1"/>
  <c r="AM26" i="2" l="1"/>
  <c r="AM20" i="4"/>
  <c r="AM26" i="3"/>
  <c r="AM34" i="2"/>
  <c r="AM25" i="2"/>
  <c r="AN25" i="2"/>
  <c r="AM33" i="2"/>
  <c r="AN33" i="2"/>
  <c r="AM35" i="2"/>
  <c r="AM19" i="3"/>
  <c r="AM23" i="3"/>
  <c r="AM42" i="2"/>
  <c r="AN42" i="2"/>
  <c r="AM21" i="3"/>
  <c r="AM27" i="4"/>
  <c r="AO27" i="4"/>
  <c r="AM30" i="4"/>
  <c r="AM28" i="4"/>
  <c r="AM31" i="4"/>
  <c r="AG23" i="2"/>
  <c r="AH23" i="2" s="1"/>
  <c r="AO26" i="2"/>
  <c r="M43" i="2"/>
  <c r="Z20" i="2"/>
  <c r="AA20" i="2" s="1"/>
  <c r="AO25" i="2"/>
  <c r="AG19" i="2"/>
  <c r="AO33" i="2"/>
  <c r="AO20" i="4"/>
  <c r="V19" i="2"/>
  <c r="W19" i="2" s="1"/>
  <c r="V21" i="2"/>
  <c r="W21" i="2" s="1"/>
  <c r="V23" i="2"/>
  <c r="W23" i="2" s="1"/>
  <c r="Y27" i="2"/>
  <c r="Z27" i="2" s="1"/>
  <c r="AA27" i="2" s="1"/>
  <c r="V28" i="2"/>
  <c r="W28" i="2" s="1"/>
  <c r="U33" i="2"/>
  <c r="V33" i="2" s="1"/>
  <c r="W33" i="2" s="1"/>
  <c r="U41" i="2"/>
  <c r="V41" i="2" s="1"/>
  <c r="W41" i="2" s="1"/>
  <c r="Z19" i="3"/>
  <c r="AA19" i="3" s="1"/>
  <c r="AO23" i="3"/>
  <c r="AK24" i="2"/>
  <c r="AC26" i="2"/>
  <c r="Z35" i="2"/>
  <c r="AA35" i="2" s="1"/>
  <c r="AO35" i="2"/>
  <c r="AN35" i="2"/>
  <c r="I43" i="2"/>
  <c r="AN26" i="2"/>
  <c r="AK27" i="2"/>
  <c r="U34" i="2"/>
  <c r="V34" i="2" s="1"/>
  <c r="W34" i="2" s="1"/>
  <c r="AF39" i="2"/>
  <c r="AG39" i="2" s="1"/>
  <c r="AH39" i="2" s="1"/>
  <c r="AO34" i="2"/>
  <c r="AC38" i="2"/>
  <c r="Y38" i="2"/>
  <c r="Z38" i="2" s="1"/>
  <c r="AA38" i="2" s="1"/>
  <c r="U39" i="2"/>
  <c r="V39" i="2" s="1"/>
  <c r="W39" i="2" s="1"/>
  <c r="AC40" i="2"/>
  <c r="Y40" i="2"/>
  <c r="Z40" i="2" s="1"/>
  <c r="AA40" i="2" s="1"/>
  <c r="E27" i="3"/>
  <c r="AO42" i="2"/>
  <c r="U27" i="2"/>
  <c r="V27" i="2" s="1"/>
  <c r="W27" i="2" s="1"/>
  <c r="U32" i="2"/>
  <c r="V32" i="2" s="1"/>
  <c r="W32" i="2" s="1"/>
  <c r="AK32" i="2"/>
  <c r="Y34" i="2"/>
  <c r="Z34" i="2" s="1"/>
  <c r="AA34" i="2" s="1"/>
  <c r="I27" i="3"/>
  <c r="Y26" i="2"/>
  <c r="Z26" i="2" s="1"/>
  <c r="AA26" i="2" s="1"/>
  <c r="AN34" i="2"/>
  <c r="M27" i="3"/>
  <c r="AO19" i="3"/>
  <c r="AF21" i="4"/>
  <c r="AG21" i="4" s="1"/>
  <c r="AH21" i="4" s="1"/>
  <c r="AF41" i="2"/>
  <c r="AG41" i="2" s="1"/>
  <c r="AH41" i="2" s="1"/>
  <c r="AC34" i="2"/>
  <c r="AC36" i="2"/>
  <c r="Y36" i="2"/>
  <c r="Z36" i="2" s="1"/>
  <c r="AA36" i="2" s="1"/>
  <c r="AF37" i="2"/>
  <c r="AG37" i="2" s="1"/>
  <c r="AH37" i="2" s="1"/>
  <c r="U21" i="4"/>
  <c r="V21" i="4" s="1"/>
  <c r="W21" i="4" s="1"/>
  <c r="Z24" i="3"/>
  <c r="AA24" i="3" s="1"/>
  <c r="Z21" i="4"/>
  <c r="AA21" i="4" s="1"/>
  <c r="AO21" i="3"/>
  <c r="AF24" i="4"/>
  <c r="AG24" i="4" s="1"/>
  <c r="AH24" i="4" s="1"/>
  <c r="Y42" i="2"/>
  <c r="Z42" i="2" s="1"/>
  <c r="AA42" i="2" s="1"/>
  <c r="Y20" i="3"/>
  <c r="Z20" i="3" s="1"/>
  <c r="AA20" i="3" s="1"/>
  <c r="AN21" i="3"/>
  <c r="AN23" i="3"/>
  <c r="M36" i="4"/>
  <c r="U26" i="4"/>
  <c r="V26" i="4" s="1"/>
  <c r="W26" i="4" s="1"/>
  <c r="AK26" i="4"/>
  <c r="AN19" i="3"/>
  <c r="Z22" i="3"/>
  <c r="AA22" i="3" s="1"/>
  <c r="U23" i="3"/>
  <c r="V23" i="3" s="1"/>
  <c r="W23" i="3" s="1"/>
  <c r="I23" i="5"/>
  <c r="AG22" i="3"/>
  <c r="AH22" i="3" s="1"/>
  <c r="AN20" i="4"/>
  <c r="U24" i="3"/>
  <c r="V24" i="3" s="1"/>
  <c r="W24" i="3" s="1"/>
  <c r="AK24" i="3"/>
  <c r="AK25" i="3"/>
  <c r="U25" i="3"/>
  <c r="V25" i="3" s="1"/>
  <c r="W25" i="3" s="1"/>
  <c r="V22" i="3"/>
  <c r="W22" i="3" s="1"/>
  <c r="AI36" i="4"/>
  <c r="V22" i="4"/>
  <c r="W22" i="4" s="1"/>
  <c r="AK23" i="4"/>
  <c r="AM23" i="4" s="1"/>
  <c r="AC20" i="4"/>
  <c r="AC24" i="4"/>
  <c r="AO31" i="4"/>
  <c r="AN31" i="4"/>
  <c r="AN28" i="4"/>
  <c r="AO30" i="4"/>
  <c r="AN30" i="4"/>
  <c r="Y22" i="4"/>
  <c r="Z22" i="4" s="1"/>
  <c r="AA22" i="4" s="1"/>
  <c r="U23" i="4"/>
  <c r="V23" i="4" s="1"/>
  <c r="W23" i="4" s="1"/>
  <c r="V24" i="4"/>
  <c r="W24" i="4" s="1"/>
  <c r="Z25" i="4"/>
  <c r="AA25" i="4" s="1"/>
  <c r="AG25" i="4"/>
  <c r="AH25" i="4" s="1"/>
  <c r="AC26" i="4"/>
  <c r="AB23" i="5"/>
  <c r="AB36" i="4"/>
  <c r="AO28" i="4"/>
  <c r="Y32" i="4"/>
  <c r="Z32" i="4" s="1"/>
  <c r="AA32" i="4" s="1"/>
  <c r="M23" i="5"/>
  <c r="E36" i="4"/>
  <c r="AC25" i="4"/>
  <c r="AN27" i="4"/>
  <c r="R19" i="5"/>
  <c r="S19" i="5" s="1"/>
  <c r="T19" i="5" s="1"/>
  <c r="Y21" i="5"/>
  <c r="Z21" i="5" s="1"/>
  <c r="AA21" i="5" s="1"/>
  <c r="U29" i="4"/>
  <c r="V29" i="4" s="1"/>
  <c r="W29" i="4" s="1"/>
  <c r="U30" i="4"/>
  <c r="V30" i="4" s="1"/>
  <c r="W30" i="4" s="1"/>
  <c r="Z31" i="4"/>
  <c r="AA31" i="4" s="1"/>
  <c r="V19" i="5"/>
  <c r="U33" i="4"/>
  <c r="V33" i="4" s="1"/>
  <c r="W33" i="4" s="1"/>
  <c r="AF33" i="4"/>
  <c r="AG33" i="4" s="1"/>
  <c r="AH33" i="4" s="1"/>
  <c r="Y34" i="4"/>
  <c r="Z34" i="4" s="1"/>
  <c r="AA34" i="4" s="1"/>
  <c r="U35" i="4"/>
  <c r="V35" i="4" s="1"/>
  <c r="W35" i="4" s="1"/>
  <c r="AF35" i="4"/>
  <c r="AG35" i="4" s="1"/>
  <c r="AH35" i="4" s="1"/>
  <c r="Y20" i="5"/>
  <c r="Z20" i="5" s="1"/>
  <c r="AA20" i="5" s="1"/>
  <c r="R22" i="5"/>
  <c r="S22" i="5" s="1"/>
  <c r="T22" i="5" s="1"/>
  <c r="U23" i="5"/>
  <c r="Y19" i="5"/>
  <c r="Z19" i="5" s="1"/>
  <c r="AA19" i="5" s="1"/>
  <c r="R21" i="5"/>
  <c r="S21" i="5" s="1"/>
  <c r="T21" i="5" s="1"/>
  <c r="AT33" i="2" l="1"/>
  <c r="AE33" i="2" s="1"/>
  <c r="AS26" i="3"/>
  <c r="AT26" i="3"/>
  <c r="AM25" i="3"/>
  <c r="Q27" i="3"/>
  <c r="X36" i="4"/>
  <c r="AI43" i="2"/>
  <c r="Q36" i="4"/>
  <c r="X43" i="2"/>
  <c r="AO27" i="2"/>
  <c r="AN27" i="2"/>
  <c r="AR27" i="4"/>
  <c r="AP27" i="4"/>
  <c r="AT27" i="4"/>
  <c r="AS27" i="4"/>
  <c r="AQ27" i="4"/>
  <c r="AP23" i="3"/>
  <c r="AR23" i="3"/>
  <c r="AS23" i="3"/>
  <c r="AQ23" i="3"/>
  <c r="AT23" i="3"/>
  <c r="AR26" i="3"/>
  <c r="AQ26" i="3"/>
  <c r="AP26" i="3"/>
  <c r="X23" i="5"/>
  <c r="X27" i="3"/>
  <c r="Q43" i="2"/>
  <c r="AP19" i="3"/>
  <c r="AT19" i="3"/>
  <c r="AS19" i="3"/>
  <c r="AR19" i="3"/>
  <c r="AQ19" i="3"/>
  <c r="AR33" i="2"/>
  <c r="AP33" i="2"/>
  <c r="AS33" i="2"/>
  <c r="AQ33" i="2"/>
  <c r="AS20" i="4"/>
  <c r="AR20" i="4"/>
  <c r="AQ20" i="4"/>
  <c r="AP20" i="4"/>
  <c r="AT20" i="4"/>
  <c r="AU20" i="4" s="1"/>
  <c r="AN26" i="4"/>
  <c r="AO26" i="4"/>
  <c r="AO24" i="2"/>
  <c r="AN24" i="2"/>
  <c r="AR26" i="2"/>
  <c r="AS26" i="2"/>
  <c r="AQ26" i="2"/>
  <c r="AP26" i="2"/>
  <c r="AT26" i="2"/>
  <c r="AU26" i="2" s="1"/>
  <c r="AO32" i="2"/>
  <c r="AN32" i="2"/>
  <c r="AP31" i="4"/>
  <c r="AT31" i="4"/>
  <c r="AR31" i="4"/>
  <c r="AS31" i="4"/>
  <c r="AQ31" i="4"/>
  <c r="AP28" i="4"/>
  <c r="AT28" i="4"/>
  <c r="AR28" i="4"/>
  <c r="AS28" i="4"/>
  <c r="AQ28" i="4"/>
  <c r="AT21" i="3"/>
  <c r="AQ21" i="3"/>
  <c r="AS21" i="3"/>
  <c r="AR21" i="3"/>
  <c r="AP21" i="3"/>
  <c r="AT25" i="2"/>
  <c r="AS25" i="2"/>
  <c r="AR25" i="2"/>
  <c r="AQ25" i="2"/>
  <c r="AP25" i="2"/>
  <c r="AM27" i="2"/>
  <c r="AM26" i="4"/>
  <c r="AP35" i="2"/>
  <c r="AT35" i="2"/>
  <c r="AR35" i="2"/>
  <c r="AS35" i="2"/>
  <c r="AQ35" i="2"/>
  <c r="AR34" i="2"/>
  <c r="AQ34" i="2"/>
  <c r="AP34" i="2"/>
  <c r="AS34" i="2"/>
  <c r="AT34" i="2"/>
  <c r="AU34" i="2" s="1"/>
  <c r="Q23" i="5"/>
  <c r="AN25" i="3"/>
  <c r="AO25" i="3"/>
  <c r="AR30" i="4"/>
  <c r="AQ30" i="4"/>
  <c r="AP30" i="4"/>
  <c r="AT30" i="4"/>
  <c r="AS30" i="4"/>
  <c r="AT42" i="2"/>
  <c r="AS42" i="2"/>
  <c r="AR42" i="2"/>
  <c r="AQ42" i="2"/>
  <c r="AP42" i="2"/>
  <c r="AM32" i="2"/>
  <c r="AO23" i="4"/>
  <c r="AN23" i="4"/>
  <c r="AN24" i="3"/>
  <c r="AO24" i="3"/>
  <c r="AI27" i="3"/>
  <c r="AM24" i="3"/>
  <c r="AM24" i="2"/>
  <c r="AU30" i="4" l="1"/>
  <c r="AE30" i="4"/>
  <c r="AU28" i="4"/>
  <c r="AE28" i="4"/>
  <c r="AU31" i="4"/>
  <c r="AE31" i="4"/>
  <c r="AU27" i="4"/>
  <c r="AE27" i="4"/>
  <c r="AE20" i="4"/>
  <c r="AU23" i="3"/>
  <c r="AE23" i="3"/>
  <c r="AU21" i="3"/>
  <c r="AE21" i="3"/>
  <c r="AU26" i="3"/>
  <c r="AE26" i="3"/>
  <c r="AU19" i="3"/>
  <c r="AE19" i="3"/>
  <c r="AU35" i="2"/>
  <c r="AE35" i="2"/>
  <c r="AU42" i="2"/>
  <c r="AE42" i="2"/>
  <c r="AE34" i="2"/>
  <c r="AU33" i="2"/>
  <c r="AE26" i="2"/>
  <c r="AU25" i="2"/>
  <c r="AE25" i="2"/>
  <c r="AT24" i="2"/>
  <c r="AE24" i="2" s="1"/>
  <c r="AP23" i="4"/>
  <c r="AQ25" i="3"/>
  <c r="AT27" i="2"/>
  <c r="AE27" i="2" s="1"/>
  <c r="AS27" i="2"/>
  <c r="AR27" i="2"/>
  <c r="AP27" i="2"/>
  <c r="AQ27" i="2"/>
  <c r="AS23" i="4"/>
  <c r="AS24" i="3"/>
  <c r="AQ24" i="3"/>
  <c r="AP24" i="3"/>
  <c r="AT24" i="3"/>
  <c r="AR24" i="3"/>
  <c r="AP32" i="2"/>
  <c r="AS32" i="2"/>
  <c r="AQ32" i="2"/>
  <c r="AT32" i="2"/>
  <c r="AR32" i="2"/>
  <c r="AT26" i="4"/>
  <c r="AR26" i="4"/>
  <c r="AP26" i="4"/>
  <c r="AS26" i="4"/>
  <c r="AQ26" i="4"/>
  <c r="AT23" i="4"/>
  <c r="AP24" i="2"/>
  <c r="AS24" i="2"/>
  <c r="AR24" i="2"/>
  <c r="AQ24" i="2"/>
  <c r="AR25" i="3"/>
  <c r="AT25" i="3"/>
  <c r="AQ23" i="4"/>
  <c r="AR23" i="4"/>
  <c r="AS25" i="3"/>
  <c r="AP25" i="3"/>
  <c r="AU26" i="4" l="1"/>
  <c r="AE26" i="4"/>
  <c r="AF31" i="4"/>
  <c r="AG31" i="4" s="1"/>
  <c r="AH31" i="4" s="1"/>
  <c r="AF28" i="4"/>
  <c r="AG28" i="4" s="1"/>
  <c r="AH28" i="4" s="1"/>
  <c r="AF27" i="4"/>
  <c r="AG27" i="4" s="1"/>
  <c r="AH27" i="4" s="1"/>
  <c r="AU23" i="4"/>
  <c r="AE23" i="4"/>
  <c r="AF30" i="4"/>
  <c r="AG30" i="4" s="1"/>
  <c r="AH30" i="4" s="1"/>
  <c r="AF20" i="4"/>
  <c r="AG20" i="4" s="1"/>
  <c r="AH20" i="4" s="1"/>
  <c r="AF19" i="3"/>
  <c r="AG19" i="3" s="1"/>
  <c r="AH19" i="3" s="1"/>
  <c r="AF23" i="3"/>
  <c r="AG23" i="3" s="1"/>
  <c r="AH23" i="3" s="1"/>
  <c r="AF26" i="3"/>
  <c r="AG26" i="3" s="1"/>
  <c r="AH26" i="3" s="1"/>
  <c r="AU25" i="3"/>
  <c r="AE25" i="3"/>
  <c r="AF21" i="3"/>
  <c r="AG21" i="3" s="1"/>
  <c r="AH21" i="3" s="1"/>
  <c r="AU24" i="3"/>
  <c r="AE24" i="3"/>
  <c r="AF34" i="2"/>
  <c r="AG34" i="2" s="1"/>
  <c r="AH34" i="2" s="1"/>
  <c r="AF42" i="2"/>
  <c r="AG42" i="2" s="1"/>
  <c r="AH42" i="2" s="1"/>
  <c r="AF35" i="2"/>
  <c r="AG35" i="2" s="1"/>
  <c r="AH35" i="2" s="1"/>
  <c r="AF33" i="2"/>
  <c r="AG33" i="2" s="1"/>
  <c r="AH33" i="2" s="1"/>
  <c r="AU32" i="2"/>
  <c r="AE32" i="2"/>
  <c r="AU27" i="2"/>
  <c r="AF26" i="2"/>
  <c r="AG26" i="2" s="1"/>
  <c r="AH26" i="2" s="1"/>
  <c r="AF25" i="2"/>
  <c r="AG25" i="2" s="1"/>
  <c r="AH25" i="2" s="1"/>
  <c r="AU24" i="2"/>
  <c r="AF24" i="2"/>
  <c r="AG24" i="2" s="1"/>
  <c r="AH24" i="2" s="1"/>
  <c r="AG24" i="3" l="1"/>
  <c r="AH24" i="3" s="1"/>
  <c r="AF23" i="4"/>
  <c r="AG23" i="4" s="1"/>
  <c r="AH23" i="4" s="1"/>
  <c r="AF26" i="4"/>
  <c r="AG26" i="4" s="1"/>
  <c r="AH26" i="4" s="1"/>
  <c r="AF25" i="3"/>
  <c r="AG25" i="3" s="1"/>
  <c r="AH25" i="3" s="1"/>
  <c r="AF24" i="3"/>
  <c r="AF32" i="2"/>
  <c r="AG32" i="2" s="1"/>
  <c r="AH32" i="2" s="1"/>
  <c r="AF27" i="2"/>
  <c r="AG27" i="2" s="1"/>
  <c r="AH27" i="2" s="1"/>
  <c r="AE43" i="2" l="1"/>
</calcChain>
</file>

<file path=xl/sharedStrings.xml><?xml version="1.0" encoding="utf-8"?>
<sst xmlns="http://schemas.openxmlformats.org/spreadsheetml/2006/main" count="364" uniqueCount="116">
  <si>
    <t>Dispersión final</t>
  </si>
  <si>
    <t>CONSTANCIA DE ESTUDIOS DE MERCADO</t>
  </si>
  <si>
    <t>Fecha de elaboración</t>
  </si>
  <si>
    <t>La</t>
  </si>
  <si>
    <t>Dirección Distrital Archivo de Bogotá</t>
  </si>
  <si>
    <t>de la Secretaría General de la Alcaldía Mayor de Bogotá D.C., efectuó la consulta de precios de mercado para adelantar un proceso de contratación, analizando las siguientes variables:</t>
  </si>
  <si>
    <t>Objeto:</t>
  </si>
  <si>
    <t xml:space="preserve">Suministro e instalación de elementos para el montaje y realización de museografía para el programa de exposiciones del Archivo de Bogotá.
</t>
  </si>
  <si>
    <t>Para tal efecto se le dio a conocer al mercado, las especificaciones técnicas de lo requerido para el presente proceso, y se hizo la consulta a través de:</t>
  </si>
  <si>
    <t>MEDIO</t>
  </si>
  <si>
    <t>CANTIDAD</t>
  </si>
  <si>
    <t>Secop II</t>
  </si>
  <si>
    <t>Correo Electrónico</t>
  </si>
  <si>
    <t>Comunicación Escrita</t>
  </si>
  <si>
    <t>Archivos Historicos de la Entidad (contratos o procesos años anteriores)</t>
  </si>
  <si>
    <t xml:space="preserve">Como se detalla a  continuación, la consulta para la realización del Estudio de Mercado del proceso en mención, se observa que lo cotizado corresponde al objeto a contratar en todos sus componentes y que a su vez se ajusta a las condiciones y/o especificaciones contenidas en los estudios previos: </t>
  </si>
  <si>
    <t>REQUERIMIENTOS ENTIDAD</t>
  </si>
  <si>
    <t>INTERFAZ S.A.S ESTUDIO DE DISEÑO</t>
  </si>
  <si>
    <t>GRUPO ARKS PREMIER</t>
  </si>
  <si>
    <t>TDD TALLER DE DISEÑO S.A.S</t>
  </si>
  <si>
    <t>HISTORICO
 PROCESO SGA-MC-018-2025
CONTRATO 887-2025</t>
  </si>
  <si>
    <t>ANÁLISIS ESTADÍSTICO - TRES COTIZACIONES INICIAL</t>
  </si>
  <si>
    <t>ÍTEM</t>
  </si>
  <si>
    <t>DESCRIPCIÓN (BIEN O SERVICIO)</t>
  </si>
  <si>
    <t>UNIDAD DE MEDIDA</t>
  </si>
  <si>
    <t xml:space="preserve">VALOR UNITARIO (2) </t>
  </si>
  <si>
    <t xml:space="preserve"> IVA (3) </t>
  </si>
  <si>
    <t xml:space="preserve">VR.UNITARIO CON (IVA) (2+3) </t>
  </si>
  <si>
    <t>VALOR TOTAL</t>
  </si>
  <si>
    <t xml:space="preserve">VALOR UNITARIO 2025 (2) </t>
  </si>
  <si>
    <t>IPC -INDICE AGOSTO 2025</t>
  </si>
  <si>
    <t>IPC -INDICE AGOSTO 2026</t>
  </si>
  <si>
    <t xml:space="preserve">VALOR UNITARIO 2026 (2) </t>
  </si>
  <si>
    <t>VALOR UNITARIO ESTIMADO (2)</t>
  </si>
  <si>
    <t>IVA (3)</t>
  </si>
  <si>
    <t>VR. UNITARIO CON IVA</t>
  </si>
  <si>
    <t>DESV. ESTÁNDAR</t>
  </si>
  <si>
    <t>CV %</t>
  </si>
  <si>
    <t>Media para acotamiento</t>
  </si>
  <si>
    <t>Desv. estándar</t>
  </si>
  <si>
    <t>Dispersión inicial</t>
  </si>
  <si>
    <t>Límite inferior</t>
  </si>
  <si>
    <t>Límite superior</t>
  </si>
  <si>
    <t>Precio estimado acotado</t>
  </si>
  <si>
    <t>Estado C1</t>
  </si>
  <si>
    <t>Estado C2</t>
  </si>
  <si>
    <t>Estado C3</t>
  </si>
  <si>
    <t>Estado Histórico</t>
  </si>
  <si>
    <t xml:space="preserve">Impresión en vinilo laminado por metro cuadrado incluye la instalación. </t>
  </si>
  <si>
    <t>Metro cuadrado</t>
  </si>
  <si>
    <t xml:space="preserve">Impresión en lona con reverso negro por metro cuadrado incluye la instalación. </t>
  </si>
  <si>
    <t xml:space="preserve">Impresión en tela canvas por metro cuadrado incluye la instalación. </t>
  </si>
  <si>
    <t>Impresión en papel tipo earthpack, tamaño pliego con instalación</t>
  </si>
  <si>
    <t>Unidad</t>
  </si>
  <si>
    <t>Impresión en papel tipo earthpack,tamaño medio pliego con instalación</t>
  </si>
  <si>
    <t>Impresión en papel tipo earthpack, tamaño cuarto de pliego con instalación</t>
  </si>
  <si>
    <t>Impresión en papel tipo earthpack, tamaño octavo de pliego con instalación</t>
  </si>
  <si>
    <t>Impresión en papel tipo earthpack, tamaño carta con instalación  con instalación</t>
  </si>
  <si>
    <t>Impresión en papel tipo earthpack, tamaño oficio con instalación  con instalación</t>
  </si>
  <si>
    <t>Fotografía impresa laminada sobre retablo 70 cm x 50 cm x 12mm  con instalación</t>
  </si>
  <si>
    <t>Fotografía impresa laminada sobre retablo 50 cm x 35 cm x 12mm  con instalación</t>
  </si>
  <si>
    <t>Fotografía impresa laminada sobre retablo 35 cm x 25 cm x 12mm  con instalación</t>
  </si>
  <si>
    <t>Fotografía impresa laminada sobre retablo 30 cm x 30 cm x 12mm  con instalación</t>
  </si>
  <si>
    <t>Plotter latex -fotolienzo montaje 70 cm x 50 cm x 12 mm  con instalación</t>
  </si>
  <si>
    <t>Plotter latex -fotolienzo montaje 50 cm x 35 cm x 12 mm  con instalación</t>
  </si>
  <si>
    <t>Plotter latex -fotolienzo montaje 35 cm x 25 cm x 12 mm  con instalación</t>
  </si>
  <si>
    <t>Plotter latex -fotolienzo montaje 30 cm x 30 cm x 12 mm  con instalación</t>
  </si>
  <si>
    <t>Impresión Vinilo laminado sobre MDF de 5.5 mm por metro cuadrado con instalación</t>
  </si>
  <si>
    <t>Impresión Vinilo mate laminado sobre poliestireno calibre 60 por metro cuadrado con instalación</t>
  </si>
  <si>
    <t>Impresión litográfica sobre papel tipo cartel en papel periódico tamaño medio pliego  con instalación</t>
  </si>
  <si>
    <t>Impresión litográfica sobre papel tipo cartel en papel periódico tamaño cuarto de pliego  con instalación</t>
  </si>
  <si>
    <t>Impresión litográfica sobre papel tipo cartel en papel periódico tamaño octavo de pliego con instalación</t>
  </si>
  <si>
    <t>Plotter de corte en vinilo por metro cuadrado con instalación</t>
  </si>
  <si>
    <t>Impresión en vinilo laminado sobre foamboard según medida hasta tamaño pliego, refilada a la dimensión solicitada</t>
  </si>
  <si>
    <t>TOTAL INCLUIDO IVA</t>
  </si>
  <si>
    <t>ANÁLISIS</t>
  </si>
  <si>
    <t>Suministro e instalación de elementos para el montaje y realización de museografía para el programa de exposiciones del Archivo de Bogotá.</t>
  </si>
  <si>
    <t>Panel elevado de piso, autoportante, triangular de tres cuerpos cada cuerpo con medidas de 1,0 m de ancho por 1,85 m de alto.</t>
  </si>
  <si>
    <t xml:space="preserve">Panel autoportante en MDF con base medidas 1,50 m x 2,0 m. </t>
  </si>
  <si>
    <t>Estructura para montaje en madera con backing en MDF medida 2,0 m x 2,0 m</t>
  </si>
  <si>
    <t>Repisa en MDP para exhibición de cuadros o libros</t>
  </si>
  <si>
    <t>Metro</t>
  </si>
  <si>
    <t>Panel autoportante en forma de V</t>
  </si>
  <si>
    <t>Exhibidor en acrílico de 4 mm con botones de soporte de vidrio</t>
  </si>
  <si>
    <t>Estructura tipo bastidor o backing en perfil de acero</t>
  </si>
  <si>
    <t>Estructura a manera de tarima en acero de 4,0 m  x 4,0 m con soporte resistente en la parte superior</t>
  </si>
  <si>
    <t xml:space="preserve">INTERFAZ S.A.S ESTUDIO DE DISEÑO </t>
  </si>
  <si>
    <t>VALOR UNITARIO 2025 (2)</t>
  </si>
  <si>
    <t>IPC - ÍNDICE AGOSTO 2025</t>
  </si>
  <si>
    <t>VALOR UNITARIO 2026 (2)</t>
  </si>
  <si>
    <t>Guaya metálica. Cable acero galvanizado 1/16 pulgada por metro de longitud</t>
  </si>
  <si>
    <t>Perros metálicos para amarre de guaya de 1/8 de pulgada por unidad</t>
  </si>
  <si>
    <t>Cinta Doble Faz Fílmica 50 m X 12 mm por unidad</t>
  </si>
  <si>
    <t xml:space="preserve">Cintas doble faz de espuma de polietileno 50 m x 12 mm
</t>
  </si>
  <si>
    <t>Rodillo en felpa de 9 pulgadas por unidad</t>
  </si>
  <si>
    <t>Brocha de cerdas suaves de 1 pulgada por unidad</t>
  </si>
  <si>
    <t>Brocha de cerdas suaves de 3 pulgadas por unidad</t>
  </si>
  <si>
    <t>Tornillo Panel Drywall Punta Aguda 6X1" por unidad</t>
  </si>
  <si>
    <t>Tornillo Aglomerado Autoperforante 6X1" por unidad</t>
  </si>
  <si>
    <t>Tornillo Aglomerado Autoperforante 8X1" por unidad</t>
  </si>
  <si>
    <t>Chazo Drywall 3/8 de pulgada con tornillo drywall 10 x 1 1/4 de pulgada por unidad</t>
  </si>
  <si>
    <t>Imanes de neodimio N35 redondo plano de 12 mm x 2mm</t>
  </si>
  <si>
    <t>Estuco plástico lavable de 1 Galón</t>
  </si>
  <si>
    <t>Espátula flexible de 3 Pulgadas</t>
  </si>
  <si>
    <t>Lija de Agua #220</t>
  </si>
  <si>
    <t>Pintura para interior vinilo lavable por 5 galones</t>
  </si>
  <si>
    <t>Cinta Doble Faz Extra Fuerte VHB 19mm x 20m marca 3M</t>
  </si>
  <si>
    <t>ANÁLISIS ESTADÍSTICO - ECUACIÓN ARITMETICA
Dispersión inferior o igual al 30 % promedio simple de las tres cotizaciones.
Dispersión superior al 30 % e inferiores o igual al 60 % media geométrica de las tres cotizaciones.
Dispersión superior al 60 % acotamiento mediante el intervalo comprendido entre la media y una desviación estándar entre las cotizaciones.</t>
  </si>
  <si>
    <t>Reproductor MP3/MP4 portátil</t>
  </si>
  <si>
    <t>Audífonos en diadema</t>
  </si>
  <si>
    <t>Parlantes con entrada USB/Bluetooth</t>
  </si>
  <si>
    <t>Memorias USB/MicroSD</t>
  </si>
  <si>
    <t>Dispersión superior al 60%, ACOTAMIENTO. se consideran las 3 cotizaciones y el valor histórico. Intervalo = Media ± Desviación estándar. Los valores fuera del intervalo se acotan. El precio estimado es el promedio simple de los valores que permanecen.</t>
  </si>
  <si>
    <t>ANÁLISIS ESTADÍSTICO - ECUACIÓN ARITMETICA
Dispersión inferior o igual al 30 % promedio simple de las tres cotizaciones.
Dispersión superior al 30 % e inferiores o igual al 60 % media geométrica de las tres cotizaciones.</t>
  </si>
  <si>
    <t>CANTIDAD  (1)</t>
  </si>
  <si>
    <t xml:space="preserve">Para la realización del estudio de mercado se solicitó información de precios de acuerdo con las especificaciones técnicas a empresas legalmente constituidas; se envió la solicitud de cotización a veintidós (22) empresas por correo electrónico y como respuesta recibimos tres (3) cotizaciones. Asimismo, se publicó a través de la plataforma de SECOP II sondeo de precios No. SGA-SC-DDAB-03-2026 para el proceso en mención, a través de esta plataforma no recibimos ninguna cotización.
La elaboración del estudio de mercado tiene como finalidad principal la consolidación de un tarifario de monto agotable el cual define los precios unitarios que serán agotados progresivamente durante la ejecución contractual, por suministro variable según las necesidades del servicio que permita sustentar la estructuración técnica y presupuestal del proceso de contratación, cuyo valor total establecido asciende a $70.000.000 incluido IVA. 
Dado que se trata de un proceso de Mínima Cuantía, el consolidar un tarifario soportado en precios reales de mercado permite establecer de forma clara y anticipada los ítems que podrán ser requeridos durante la ejecución del contrato, así como los valores máximos que podrán ser reconocidos, hasta agotar el monto total autorizado. Los ítems se encuentran identificados por tres grandes componentes que son: impresos, panelería y mobiliario, montaje y equipos de audio, en este estudio se encuentran organizados en pestañas con el nombre antes mencionado.
Para determinar los valores de referencia se analizaron las cotizaciones presentadas por las empresas: INTERFAZ S.A.S., GRUPO ARKS PREMIER S.A.S y TDD TALLER DE DISEÑO S.A.S., verificando su correspondencia con las especificaciones establecidas en el Anexo Técnico. Para cada ítem se construyó un escenario inicial, calculando el promedio, la desviación estándar y el coeficiente de variación, con el fin de identificar el nivel de dispersión existente entre los precios ofertados. Ver cuadro de “ANÁLISIS ESTADÍSTICO - TRES COTIZACIONES INICIAL”.
Con el fin de establecer una metodología objetiva para determinar el valor estimado de cada ítem, se aplicó una regla diferenciada de acuerdo con el comportamiento estadístico de las cotizaciones:
Para los ítems cuya dispersión es inferior o igual al 30 %, se utilizó el promedio simple de las tres cotizaciones, al considerarse que los valores presentan un comportamiento relativamente homogéneo.
Para los ítems cuya dispersión es superior al 30 % e inferior o igual al 60 %, se utilizó la media geométrica de las tres cotizaciones, como mecanismo de estimación que permite moderar la incidencia de diferencias entre los valores observados.
Finalmente, para los ítems cuya dispersión supera el 60 %, se realizó un ejercicio de acotamiento de los valores, tomando como referencia las tres cotizaciones y, cuando se encontraba disponible y resultaba metodológicamente pertinente, el valor histórico correspondiente al proceso SGA-MC-018-2025 – Contrato 887-2025, actualizado conforme al IPC incorporado en el estudio de mercado. Para estos casos se construyó un intervalo definido por la media más y menos una desviación estándar. Los valores que se encuentran dentro del intervalo permanecen como observaciones válidas para el cálculo, mientras que aquellos que se ubican por fuera son acotados. El valor estimado se determina a partir del promedio simple de los valores que permanecen dentro del intervalo. Este tratamiento permite identificar valores que se encuentran alejados del comportamiento central de las cotizaciones analizadas y evitar que una cotización particularmente alta o baja tenga una incidencia desproporcionada sobre el valor estimado.
De esta manera, el tratamiento aplicado permite dar un manejo diferenciado a los ítems de acuerdo con su comportamiento estadístico, dejando trazabilidad del CV inicial, la metodología aplicada, el valor estimado y el CV resultante, sin que el ajuste tenga como finalidad seleccionar necesariamente el menor precio, sino obtener un valor de referencia sustentado en el comportamiento observado de las cotizaciones.
Los resultados del ejercicio muestran que el tratamiento reduce la dispersión en una parte significativa de los ítems sometidos a acotamiento, aunque no necesariamente conduce en todos los casos a un coeficiente de variación inferior al 30 %. Esta situación se mantiene como resultado del comportamiento real de las cotizaciones y permite conservar la trazabilidad estadística del análisis.
En consecuencia, el valor de referencia de cada ítem se establece de acuerdo con la regla metodológica correspondiente a su comportamiento estadístico, procurando que el resultado sea consistente con las condiciones observadas en el mercado y con las especificaciones técnicas requeridas por la Entidad.
Bolsa contingente: 
La ubicación de elementos o insumos que se requieren y no se encuentren en la lista de requerimientos, en virtud que una exposición responde a un desarrollo creativo y variable que puede implicar la producción de elementos que no se hayan contemplado en el Anexo Técnico, genera la necesidad de una bolsa fija de recursos que satisfaga la contingencia; para esos casos, este contrato contará con una bolsa contingente cuyo valor equivale a SEIS MILLONES DE PESOS ($6.000.000) moneda legal colombiana.
Los seis millones de pesos asignados se ha considerado como un monto de estimación adecuada para resolver la exigencia de insumos que eventualmente sean requeridos dentro del proceso creativo museográfico.
Por lo anterior, el valor del contrato corresponde a ($70.000.000) distribuidos así: 
1. ($64.000.000) para monto agotable.
2. ($6.000.000) bolsa contingente.
Nota: El valor asignado a la bolsa contingente, en caso de que no sea necesaria su utilización, podrá ser destinado al suministro e instalación de elementos para el montaje y realización de museografía de acuerdo a los ítems establecidos en el tarifario y en el Anexo Técnico, en el marco del programa de exposiciones. Esta disposición busca garantizar la adecuada ejecución y fortalecimiento de las actividades museográficas previstas por la Entidad.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</si>
</sst>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dd/mm/yyyy"/>
    <numFmt numFmtId="165" formatCode="\$#,##0.00"/>
    <numFmt numFmtId="166" formatCode="&quot;$ &quot;#,##0"/>
    <numFmt numFmtId="167" formatCode="\$#,##0.0000000"/>
    <numFmt numFmtId="168" formatCode="\$#,##0"/>
  </numFmts>
  <fonts count="30" x14ac:knownFonts="1">
    <font>
      <sz val="10"/>
      <name val="Arial"/>
      <family val="2"/>
      <charset val="1"/>
    </font>
    <font>
      <sz val="9"/>
      <name val="Arial"/>
      <family val="2"/>
      <charset val="1"/>
    </font>
    <font>
      <b/>
      <sz val="9"/>
      <name val="Arial"/>
      <family val="2"/>
      <charset val="1"/>
    </font>
    <font>
      <b/>
      <sz val="9"/>
      <name val="Trebuchet MS"/>
      <family val="2"/>
      <charset val="1"/>
    </font>
    <font>
      <b/>
      <sz val="8"/>
      <name val="Trebuchet MS"/>
      <family val="2"/>
      <charset val="1"/>
    </font>
    <font>
      <b/>
      <sz val="9"/>
      <color rgb="FFC00000"/>
      <name val="Trebuchet MS"/>
      <family val="2"/>
      <charset val="1"/>
    </font>
    <font>
      <b/>
      <sz val="12"/>
      <name val="Trebuchet MS"/>
      <family val="2"/>
      <charset val="1"/>
    </font>
    <font>
      <sz val="9"/>
      <color rgb="FF000000"/>
      <name val="Trebuchet MS"/>
      <family val="2"/>
      <charset val="1"/>
    </font>
    <font>
      <sz val="10"/>
      <name val="Trebuchet MS"/>
      <family val="2"/>
      <charset val="1"/>
    </font>
    <font>
      <sz val="12"/>
      <color rgb="FF000000"/>
      <name val="Trebuchet MS"/>
      <family val="2"/>
      <charset val="1"/>
    </font>
    <font>
      <b/>
      <sz val="9"/>
      <color rgb="FF000000"/>
      <name val="Trebuchet MS"/>
      <family val="2"/>
      <charset val="1"/>
    </font>
    <font>
      <sz val="10"/>
      <color rgb="FF000000"/>
      <name val="Trebuchet MS"/>
      <family val="2"/>
      <charset val="1"/>
    </font>
    <font>
      <b/>
      <sz val="10"/>
      <color rgb="FF000000"/>
      <name val="Trebuchet MS"/>
      <family val="2"/>
      <charset val="1"/>
    </font>
    <font>
      <b/>
      <sz val="9"/>
      <color rgb="FF000000"/>
      <name val="Calibri"/>
      <family val="2"/>
      <charset val="1"/>
    </font>
    <font>
      <b/>
      <sz val="11"/>
      <name val="Cambria"/>
      <family val="1"/>
    </font>
    <font>
      <sz val="9"/>
      <color rgb="FF000000"/>
      <name val="Calibri"/>
      <family val="2"/>
      <charset val="1"/>
    </font>
    <font>
      <b/>
      <sz val="9"/>
      <name val="Calibri"/>
      <family val="2"/>
      <charset val="1"/>
    </font>
    <font>
      <sz val="9"/>
      <name val="Arial"/>
      <family val="2"/>
    </font>
    <font>
      <b/>
      <sz val="10"/>
      <name val="Arial"/>
      <family val="2"/>
      <charset val="1"/>
    </font>
    <font>
      <sz val="9"/>
      <name val="Calibri"/>
      <family val="2"/>
      <charset val="1"/>
    </font>
    <font>
      <sz val="10"/>
      <name val="Arial"/>
      <family val="2"/>
      <charset val="1"/>
    </font>
    <font>
      <sz val="9"/>
      <color rgb="FF000000"/>
      <name val="Calibri"/>
      <family val="2"/>
    </font>
    <font>
      <b/>
      <sz val="9"/>
      <name val="Trebuchet MS"/>
      <family val="2"/>
    </font>
    <font>
      <sz val="9"/>
      <name val="Calibri"/>
      <family val="2"/>
      <scheme val="minor"/>
    </font>
    <font>
      <b/>
      <sz val="9"/>
      <name val="Calibri"/>
      <family val="2"/>
      <scheme val="minor"/>
    </font>
    <font>
      <sz val="9"/>
      <name val="Arial"/>
      <family val="2"/>
    </font>
    <font>
      <b/>
      <sz val="9"/>
      <color rgb="FF000000"/>
      <name val="Trebuchet MS"/>
      <family val="2"/>
    </font>
    <font>
      <b/>
      <sz val="10"/>
      <name val="Arial"/>
      <family val="2"/>
    </font>
    <font>
      <i/>
      <sz val="10"/>
      <name val="Arial"/>
      <family val="2"/>
    </font>
    <font>
      <b/>
      <sz val="9"/>
      <color rgb="FF000000"/>
      <name val="Calibri"/>
      <family val="2"/>
    </font>
  </fonts>
  <fills count="5">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theme="7" tint="0.79998168889431442"/>
        <bgColor indexed="64"/>
      </patternFill>
    </fill>
  </fills>
  <borders count="70">
    <border>
      <left/>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medium">
        <color auto="1"/>
      </bottom>
      <diagonal/>
    </border>
    <border>
      <left/>
      <right style="thin">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thin">
        <color auto="1"/>
      </right>
      <top/>
      <bottom style="thin">
        <color auto="1"/>
      </bottom>
      <diagonal/>
    </border>
    <border>
      <left style="thin">
        <color auto="1"/>
      </left>
      <right/>
      <top style="medium">
        <color auto="1"/>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top/>
      <bottom/>
      <diagonal/>
    </border>
    <border>
      <left style="thin">
        <color auto="1"/>
      </left>
      <right style="thin">
        <color auto="1"/>
      </right>
      <top/>
      <bottom/>
      <diagonal/>
    </border>
    <border>
      <left style="thin">
        <color auto="1"/>
      </left>
      <right/>
      <top/>
      <bottom style="medium">
        <color auto="1"/>
      </bottom>
      <diagonal/>
    </border>
    <border>
      <left/>
      <right style="thin">
        <color auto="1"/>
      </right>
      <top/>
      <bottom style="medium">
        <color auto="1"/>
      </bottom>
      <diagonal/>
    </border>
    <border>
      <left style="medium">
        <color auto="1"/>
      </left>
      <right style="thin">
        <color auto="1"/>
      </right>
      <top/>
      <bottom style="medium">
        <color auto="1"/>
      </bottom>
      <diagonal/>
    </border>
    <border>
      <left style="thin">
        <color auto="1"/>
      </left>
      <right/>
      <top style="medium">
        <color auto="1"/>
      </top>
      <bottom style="medium">
        <color auto="1"/>
      </bottom>
      <diagonal/>
    </border>
    <border>
      <left style="medium">
        <color auto="1"/>
      </left>
      <right style="thin">
        <color auto="1"/>
      </right>
      <top style="thin">
        <color auto="1"/>
      </top>
      <bottom/>
      <diagonal/>
    </border>
    <border>
      <left style="thin">
        <color rgb="FFB7B7B7"/>
      </left>
      <right style="thin">
        <color rgb="FFB7B7B7"/>
      </right>
      <top style="thin">
        <color rgb="FFB7B7B7"/>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auto="1"/>
      </left>
      <right style="thin">
        <color auto="1"/>
      </right>
      <top/>
      <bottom/>
      <diagonal/>
    </border>
    <border>
      <left style="thin">
        <color auto="1"/>
      </left>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medium">
        <color indexed="64"/>
      </bottom>
      <diagonal/>
    </border>
    <border>
      <left style="medium">
        <color auto="1"/>
      </left>
      <right style="medium">
        <color indexed="64"/>
      </right>
      <top style="medium">
        <color auto="1"/>
      </top>
      <bottom style="medium">
        <color auto="1"/>
      </bottom>
      <diagonal/>
    </border>
    <border>
      <left/>
      <right style="medium">
        <color indexed="64"/>
      </right>
      <top style="medium">
        <color auto="1"/>
      </top>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auto="1"/>
      </right>
      <top style="medium">
        <color auto="1"/>
      </top>
      <bottom style="medium">
        <color auto="1"/>
      </bottom>
      <diagonal/>
    </border>
    <border>
      <left/>
      <right style="thin">
        <color auto="1"/>
      </right>
      <top/>
      <bottom/>
      <diagonal/>
    </border>
    <border>
      <left/>
      <right/>
      <top style="thin">
        <color auto="1"/>
      </top>
      <bottom style="thin">
        <color auto="1"/>
      </bottom>
      <diagonal/>
    </border>
    <border>
      <left/>
      <right style="medium">
        <color auto="1"/>
      </right>
      <top style="medium">
        <color auto="1"/>
      </top>
      <bottom style="medium">
        <color auto="1"/>
      </bottom>
      <diagonal/>
    </border>
    <border>
      <left/>
      <right/>
      <top style="thin">
        <color rgb="FFB7B7B7"/>
      </top>
      <bottom/>
      <diagonal/>
    </border>
    <border>
      <left/>
      <right style="thin">
        <color rgb="FFB7B7B7"/>
      </right>
      <top style="thin">
        <color rgb="FFB7B7B7"/>
      </top>
      <bottom/>
      <diagonal/>
    </border>
    <border>
      <left style="thin">
        <color auto="1"/>
      </left>
      <right/>
      <top style="medium">
        <color auto="1"/>
      </top>
      <bottom/>
      <diagonal/>
    </border>
  </borders>
  <cellStyleXfs count="2">
    <xf numFmtId="0" fontId="0" fillId="0" borderId="0"/>
    <xf numFmtId="0" fontId="20" fillId="0" borderId="0"/>
  </cellStyleXfs>
  <cellXfs count="436">
    <xf numFmtId="0" fontId="0" fillId="0" borderId="0" xfId="0"/>
    <xf numFmtId="0" fontId="1" fillId="0" borderId="7" xfId="0" applyFont="1" applyBorder="1"/>
    <xf numFmtId="0" fontId="7" fillId="0" borderId="7" xfId="0" applyFont="1" applyBorder="1" applyAlignment="1">
      <alignment horizontal="left" vertical="center" wrapText="1"/>
    </xf>
    <xf numFmtId="0" fontId="12" fillId="0" borderId="5" xfId="0" applyFont="1" applyBorder="1" applyAlignment="1">
      <alignment vertical="center"/>
    </xf>
    <xf numFmtId="0" fontId="8" fillId="0" borderId="5" xfId="0" applyFont="1" applyBorder="1" applyAlignment="1">
      <alignment horizontal="center" vertical="center" wrapText="1"/>
    </xf>
    <xf numFmtId="0" fontId="7" fillId="0" borderId="9" xfId="0" applyFont="1" applyBorder="1" applyAlignment="1">
      <alignment vertical="top" wrapText="1" readingOrder="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21" xfId="0" applyFont="1" applyBorder="1" applyAlignment="1">
      <alignment horizontal="center" vertical="center" wrapText="1"/>
    </xf>
    <xf numFmtId="0" fontId="15" fillId="0" borderId="22" xfId="0" applyFont="1" applyBorder="1" applyAlignment="1">
      <alignment horizontal="left" vertical="center" wrapText="1"/>
    </xf>
    <xf numFmtId="0" fontId="15" fillId="0" borderId="22" xfId="0" applyFont="1" applyBorder="1" applyAlignment="1">
      <alignment horizontal="center" vertical="center" wrapText="1"/>
    </xf>
    <xf numFmtId="3" fontId="15" fillId="0" borderId="25" xfId="0" applyNumberFormat="1" applyFont="1" applyBorder="1" applyAlignment="1">
      <alignment horizontal="center" vertical="center" wrapText="1"/>
    </xf>
    <xf numFmtId="3" fontId="15" fillId="0" borderId="26" xfId="0" applyNumberFormat="1" applyFont="1" applyBorder="1" applyAlignment="1">
      <alignment horizontal="center" vertical="center" wrapText="1"/>
    </xf>
    <xf numFmtId="3" fontId="15" fillId="0" borderId="28" xfId="0" applyNumberFormat="1" applyFont="1" applyBorder="1" applyAlignment="1">
      <alignment horizontal="center" vertical="center" wrapText="1"/>
    </xf>
    <xf numFmtId="0" fontId="15" fillId="0" borderId="22" xfId="0" applyFont="1" applyBorder="1" applyAlignment="1">
      <alignment vertical="center" wrapText="1"/>
    </xf>
    <xf numFmtId="0" fontId="15" fillId="0" borderId="5" xfId="0" applyFont="1" applyBorder="1" applyAlignment="1">
      <alignment vertical="top" wrapText="1"/>
    </xf>
    <xf numFmtId="3" fontId="15" fillId="0" borderId="37" xfId="0" applyNumberFormat="1" applyFont="1" applyBorder="1" applyAlignment="1">
      <alignment horizontal="center" vertical="center" wrapText="1"/>
    </xf>
    <xf numFmtId="3" fontId="13" fillId="0" borderId="47" xfId="0" applyNumberFormat="1" applyFont="1" applyBorder="1" applyAlignment="1">
      <alignment horizontal="center" vertical="center" wrapText="1"/>
    </xf>
    <xf numFmtId="4" fontId="13" fillId="0" borderId="37" xfId="0" applyNumberFormat="1" applyFont="1" applyBorder="1" applyAlignment="1">
      <alignment horizontal="center" vertical="center" wrapText="1"/>
    </xf>
    <xf numFmtId="4" fontId="13" fillId="0" borderId="38" xfId="0" applyNumberFormat="1" applyFont="1" applyBorder="1" applyAlignment="1">
      <alignment horizontal="center" vertical="center" wrapText="1"/>
    </xf>
    <xf numFmtId="4" fontId="13" fillId="0" borderId="48" xfId="0" applyNumberFormat="1" applyFont="1" applyBorder="1" applyAlignment="1">
      <alignment horizontal="center" vertical="center" wrapText="1"/>
    </xf>
    <xf numFmtId="3" fontId="15" fillId="2" borderId="5" xfId="0" applyNumberFormat="1" applyFont="1" applyFill="1" applyBorder="1" applyAlignment="1">
      <alignment horizontal="center" vertical="center" wrapText="1"/>
    </xf>
    <xf numFmtId="4" fontId="15" fillId="0" borderId="22" xfId="0" applyNumberFormat="1" applyFont="1" applyBorder="1" applyAlignment="1">
      <alignment horizontal="center" vertical="center" wrapText="1"/>
    </xf>
    <xf numFmtId="3" fontId="1" fillId="0" borderId="0" xfId="0" applyNumberFormat="1" applyFont="1"/>
    <xf numFmtId="0" fontId="13" fillId="0" borderId="22" xfId="0" applyFont="1" applyBorder="1" applyAlignment="1">
      <alignment horizontal="center" vertical="center" wrapText="1"/>
    </xf>
    <xf numFmtId="0" fontId="13" fillId="0" borderId="5" xfId="0" applyFont="1" applyBorder="1" applyAlignment="1">
      <alignment horizontal="center" vertical="center" wrapText="1"/>
    </xf>
    <xf numFmtId="9" fontId="13" fillId="0" borderId="29" xfId="0" applyNumberFormat="1" applyFont="1" applyBorder="1" applyAlignment="1">
      <alignment horizontal="center" vertical="center" wrapText="1"/>
    </xf>
    <xf numFmtId="3" fontId="13" fillId="0" borderId="21" xfId="0" applyNumberFormat="1" applyFont="1" applyBorder="1" applyAlignment="1">
      <alignment horizontal="center" vertical="center" wrapText="1"/>
    </xf>
    <xf numFmtId="3" fontId="13" fillId="0" borderId="22" xfId="0" applyNumberFormat="1" applyFont="1" applyBorder="1" applyAlignment="1">
      <alignment horizontal="center" vertical="center" wrapText="1"/>
    </xf>
    <xf numFmtId="3" fontId="18" fillId="0" borderId="0" xfId="0" applyNumberFormat="1" applyFont="1" applyAlignment="1">
      <alignment horizontal="center"/>
    </xf>
    <xf numFmtId="0" fontId="18" fillId="0" borderId="0" xfId="0" applyFont="1" applyAlignment="1">
      <alignment horizontal="center"/>
    </xf>
    <xf numFmtId="3" fontId="21" fillId="0" borderId="22" xfId="0" applyNumberFormat="1" applyFont="1" applyBorder="1" applyAlignment="1">
      <alignment horizontal="center" vertical="center" wrapText="1"/>
    </xf>
    <xf numFmtId="3" fontId="23" fillId="3" borderId="24" xfId="0" applyNumberFormat="1" applyFont="1" applyFill="1" applyBorder="1" applyAlignment="1">
      <alignment horizontal="center" vertical="center" wrapText="1"/>
    </xf>
    <xf numFmtId="4" fontId="23" fillId="0" borderId="25" xfId="0" applyNumberFormat="1" applyFont="1" applyBorder="1" applyAlignment="1">
      <alignment horizontal="center" vertical="center" wrapText="1"/>
    </xf>
    <xf numFmtId="3" fontId="23" fillId="0" borderId="25" xfId="0" applyNumberFormat="1" applyFont="1" applyBorder="1" applyAlignment="1">
      <alignment horizontal="center" vertical="center" wrapText="1"/>
    </xf>
    <xf numFmtId="3" fontId="23" fillId="3" borderId="5" xfId="0" applyNumberFormat="1" applyFont="1" applyFill="1" applyBorder="1" applyAlignment="1">
      <alignment horizontal="center" vertical="center" wrapText="1"/>
    </xf>
    <xf numFmtId="4" fontId="24" fillId="3" borderId="19" xfId="0" applyNumberFormat="1" applyFont="1" applyFill="1" applyBorder="1" applyAlignment="1">
      <alignment horizontal="center" vertical="center" wrapText="1"/>
    </xf>
    <xf numFmtId="4" fontId="24" fillId="3" borderId="15" xfId="0" applyNumberFormat="1" applyFont="1" applyFill="1" applyBorder="1" applyAlignment="1">
      <alignment horizontal="center" vertical="center" wrapText="1"/>
    </xf>
    <xf numFmtId="3" fontId="19" fillId="2" borderId="21" xfId="0" applyNumberFormat="1" applyFont="1" applyFill="1" applyBorder="1" applyAlignment="1">
      <alignment horizontal="center" vertical="center" wrapText="1"/>
    </xf>
    <xf numFmtId="3" fontId="15" fillId="2" borderId="22" xfId="0" applyNumberFormat="1" applyFont="1" applyFill="1" applyBorder="1" applyAlignment="1">
      <alignment horizontal="center" vertical="center" wrapText="1"/>
    </xf>
    <xf numFmtId="4" fontId="13" fillId="2" borderId="19" xfId="0" applyNumberFormat="1" applyFont="1" applyFill="1" applyBorder="1" applyAlignment="1">
      <alignment horizontal="center" vertical="center" wrapText="1"/>
    </xf>
    <xf numFmtId="4" fontId="13" fillId="2" borderId="15" xfId="0" applyNumberFormat="1" applyFont="1" applyFill="1" applyBorder="1" applyAlignment="1">
      <alignment horizontal="center" vertical="center" wrapText="1"/>
    </xf>
    <xf numFmtId="4" fontId="13" fillId="0" borderId="52" xfId="0" applyNumberFormat="1" applyFont="1" applyBorder="1" applyAlignment="1">
      <alignment horizontal="center" vertical="center" wrapText="1"/>
    </xf>
    <xf numFmtId="0" fontId="1" fillId="0" borderId="0" xfId="0" applyFont="1" applyAlignment="1">
      <alignment vertical="center"/>
    </xf>
    <xf numFmtId="0" fontId="2" fillId="0" borderId="0" xfId="0" applyFont="1" applyAlignment="1">
      <alignment vertical="top" wrapText="1"/>
    </xf>
    <xf numFmtId="3" fontId="23" fillId="3" borderId="31" xfId="0" applyNumberFormat="1" applyFont="1" applyFill="1" applyBorder="1" applyAlignment="1">
      <alignment horizontal="center" vertical="center" wrapText="1"/>
    </xf>
    <xf numFmtId="4" fontId="24" fillId="3" borderId="48" xfId="0" applyNumberFormat="1" applyFont="1" applyFill="1" applyBorder="1" applyAlignment="1">
      <alignment horizontal="center" vertical="center" wrapText="1"/>
    </xf>
    <xf numFmtId="3" fontId="15" fillId="0" borderId="33" xfId="0" applyNumberFormat="1" applyFont="1" applyBorder="1" applyAlignment="1">
      <alignment horizontal="center" vertical="center" wrapText="1"/>
    </xf>
    <xf numFmtId="9" fontId="13" fillId="0" borderId="26" xfId="0" applyNumberFormat="1" applyFont="1" applyBorder="1" applyAlignment="1">
      <alignment horizontal="center" vertical="center" wrapText="1"/>
    </xf>
    <xf numFmtId="9" fontId="13" fillId="0" borderId="6" xfId="0" applyNumberFormat="1" applyFont="1" applyBorder="1" applyAlignment="1">
      <alignment horizontal="center" vertical="center" wrapText="1"/>
    </xf>
    <xf numFmtId="9" fontId="13" fillId="0" borderId="34" xfId="0" applyNumberFormat="1" applyFont="1" applyBorder="1" applyAlignment="1">
      <alignment horizontal="center" vertical="center" wrapText="1"/>
    </xf>
    <xf numFmtId="4" fontId="13" fillId="0" borderId="19" xfId="0" applyNumberFormat="1" applyFont="1" applyBorder="1" applyAlignment="1">
      <alignment horizontal="center" vertical="center" wrapText="1"/>
    </xf>
    <xf numFmtId="3" fontId="13" fillId="0" borderId="2" xfId="0" applyNumberFormat="1" applyFont="1" applyBorder="1" applyAlignment="1">
      <alignment horizontal="center" vertical="center" wrapText="1"/>
    </xf>
    <xf numFmtId="3" fontId="13" fillId="0" borderId="32" xfId="0" applyNumberFormat="1" applyFont="1" applyBorder="1" applyAlignment="1">
      <alignment horizontal="center" vertical="center" wrapText="1"/>
    </xf>
    <xf numFmtId="3" fontId="21" fillId="0" borderId="21" xfId="0" applyNumberFormat="1" applyFont="1" applyBorder="1" applyAlignment="1">
      <alignment horizontal="center" vertical="center" wrapText="1"/>
    </xf>
    <xf numFmtId="3" fontId="21" fillId="0" borderId="24" xfId="0" applyNumberFormat="1" applyFont="1" applyBorder="1" applyAlignment="1">
      <alignment horizontal="center" vertical="center" wrapText="1"/>
    </xf>
    <xf numFmtId="3" fontId="21" fillId="0" borderId="2" xfId="0" applyNumberFormat="1" applyFont="1" applyBorder="1" applyAlignment="1">
      <alignment horizontal="center" vertical="center" wrapText="1"/>
    </xf>
    <xf numFmtId="9" fontId="21" fillId="0" borderId="6" xfId="0" applyNumberFormat="1" applyFont="1" applyBorder="1" applyAlignment="1">
      <alignment horizontal="center" vertical="center" wrapText="1"/>
    </xf>
    <xf numFmtId="4" fontId="13" fillId="2" borderId="48" xfId="0" applyNumberFormat="1" applyFont="1" applyFill="1" applyBorder="1" applyAlignment="1">
      <alignment horizontal="center" vertical="center" wrapText="1"/>
    </xf>
    <xf numFmtId="3" fontId="15" fillId="2" borderId="23" xfId="0" applyNumberFormat="1" applyFont="1" applyFill="1" applyBorder="1" applyAlignment="1">
      <alignment horizontal="center" vertical="center" wrapText="1"/>
    </xf>
    <xf numFmtId="3" fontId="15" fillId="2" borderId="31" xfId="0" applyNumberFormat="1" applyFont="1" applyFill="1" applyBorder="1" applyAlignment="1">
      <alignment horizontal="center" vertical="center" wrapText="1"/>
    </xf>
    <xf numFmtId="9" fontId="15" fillId="0" borderId="6" xfId="0" applyNumberFormat="1" applyFont="1" applyBorder="1" applyAlignment="1">
      <alignment horizontal="center" vertical="center" wrapText="1"/>
    </xf>
    <xf numFmtId="3" fontId="15" fillId="0" borderId="30" xfId="0" applyNumberFormat="1" applyFont="1" applyBorder="1" applyAlignment="1">
      <alignment horizontal="center" vertical="center" wrapText="1"/>
    </xf>
    <xf numFmtId="3" fontId="15" fillId="0" borderId="57" xfId="0" applyNumberFormat="1" applyFont="1" applyBorder="1" applyAlignment="1">
      <alignment horizontal="center" vertical="center" wrapText="1"/>
    </xf>
    <xf numFmtId="9" fontId="15" fillId="0" borderId="26" xfId="0" applyNumberFormat="1" applyFont="1" applyBorder="1" applyAlignment="1">
      <alignment horizontal="center" vertical="center" wrapText="1"/>
    </xf>
    <xf numFmtId="3" fontId="15" fillId="0" borderId="58" xfId="0" applyNumberFormat="1" applyFont="1" applyBorder="1" applyAlignment="1">
      <alignment horizontal="center" vertical="center" wrapText="1"/>
    </xf>
    <xf numFmtId="9" fontId="15" fillId="0" borderId="34" xfId="0" applyNumberFormat="1" applyFont="1" applyBorder="1" applyAlignment="1">
      <alignment horizontal="center" vertical="center" wrapText="1"/>
    </xf>
    <xf numFmtId="0" fontId="14" fillId="0" borderId="14" xfId="0" applyFont="1" applyBorder="1"/>
    <xf numFmtId="4" fontId="10" fillId="0" borderId="51" xfId="0" applyNumberFormat="1" applyFont="1" applyBorder="1" applyAlignment="1">
      <alignment vertical="center" wrapText="1"/>
    </xf>
    <xf numFmtId="0" fontId="0" fillId="0" borderId="51" xfId="0" applyBorder="1"/>
    <xf numFmtId="4" fontId="13" fillId="0" borderId="17" xfId="0" applyNumberFormat="1" applyFont="1" applyBorder="1" applyAlignment="1">
      <alignment horizontal="center" vertical="center" wrapText="1"/>
    </xf>
    <xf numFmtId="3" fontId="13" fillId="0" borderId="24" xfId="0" applyNumberFormat="1" applyFont="1" applyBorder="1" applyAlignment="1">
      <alignment horizontal="center" vertical="center" wrapText="1"/>
    </xf>
    <xf numFmtId="3" fontId="13" fillId="0" borderId="49" xfId="0" applyNumberFormat="1" applyFont="1" applyBorder="1" applyAlignment="1">
      <alignment horizontal="center" vertical="center" wrapText="1"/>
    </xf>
    <xf numFmtId="3" fontId="13" fillId="0" borderId="27" xfId="0" applyNumberFormat="1" applyFont="1" applyBorder="1" applyAlignment="1">
      <alignment horizontal="center" vertical="center" wrapText="1"/>
    </xf>
    <xf numFmtId="3" fontId="13" fillId="0" borderId="30" xfId="0" applyNumberFormat="1" applyFont="1" applyBorder="1" applyAlignment="1">
      <alignment horizontal="center" vertical="center" wrapText="1"/>
    </xf>
    <xf numFmtId="3" fontId="16" fillId="0" borderId="30" xfId="0" applyNumberFormat="1" applyFont="1" applyBorder="1" applyAlignment="1">
      <alignment horizontal="center" vertical="center" wrapText="1"/>
    </xf>
    <xf numFmtId="4" fontId="13" fillId="0" borderId="20" xfId="0" applyNumberFormat="1" applyFont="1" applyBorder="1" applyAlignment="1">
      <alignment horizontal="center" vertical="center" wrapText="1"/>
    </xf>
    <xf numFmtId="4" fontId="24" fillId="0" borderId="15" xfId="0" applyNumberFormat="1" applyFont="1" applyBorder="1" applyAlignment="1">
      <alignment horizontal="center" vertical="center" wrapText="1"/>
    </xf>
    <xf numFmtId="3" fontId="24" fillId="0" borderId="5" xfId="0" applyNumberFormat="1" applyFont="1" applyBorder="1" applyAlignment="1">
      <alignment horizontal="center" vertical="center" wrapText="1"/>
    </xf>
    <xf numFmtId="4" fontId="13" fillId="0" borderId="15" xfId="0" applyNumberFormat="1" applyFont="1" applyBorder="1" applyAlignment="1">
      <alignment horizontal="center" vertical="center" wrapText="1"/>
    </xf>
    <xf numFmtId="3" fontId="21" fillId="0" borderId="25" xfId="0" applyNumberFormat="1" applyFont="1" applyBorder="1" applyAlignment="1">
      <alignment horizontal="center" vertical="center" wrapText="1"/>
    </xf>
    <xf numFmtId="3" fontId="21" fillId="0" borderId="5" xfId="0" applyNumberFormat="1" applyFont="1" applyBorder="1" applyAlignment="1">
      <alignment horizontal="center" vertical="center" wrapText="1"/>
    </xf>
    <xf numFmtId="3" fontId="21" fillId="0" borderId="33" xfId="0" applyNumberFormat="1" applyFont="1" applyBorder="1" applyAlignment="1">
      <alignment horizontal="center" vertical="center" wrapText="1"/>
    </xf>
    <xf numFmtId="0" fontId="7" fillId="0" borderId="14" xfId="0" applyFont="1" applyBorder="1" applyAlignment="1">
      <alignment vertical="top" wrapText="1" readingOrder="1"/>
    </xf>
    <xf numFmtId="0" fontId="7" fillId="0" borderId="51" xfId="0" applyFont="1" applyBorder="1" applyAlignment="1">
      <alignment vertical="top" wrapText="1" readingOrder="1"/>
    </xf>
    <xf numFmtId="0" fontId="0" fillId="3" borderId="40" xfId="0" applyFill="1" applyBorder="1"/>
    <xf numFmtId="0" fontId="0" fillId="3" borderId="41" xfId="0" applyFill="1" applyBorder="1"/>
    <xf numFmtId="0" fontId="0" fillId="3" borderId="7" xfId="0" applyFill="1" applyBorder="1"/>
    <xf numFmtId="0" fontId="0" fillId="3" borderId="0" xfId="0" applyFill="1"/>
    <xf numFmtId="0" fontId="7" fillId="0" borderId="10" xfId="0" applyFont="1" applyBorder="1" applyAlignment="1">
      <alignment vertical="top" wrapText="1" readingOrder="1"/>
    </xf>
    <xf numFmtId="4" fontId="15" fillId="0" borderId="51" xfId="0" applyNumberFormat="1" applyFont="1" applyBorder="1" applyAlignment="1">
      <alignment horizontal="center" vertical="center" wrapText="1"/>
    </xf>
    <xf numFmtId="0" fontId="7" fillId="0" borderId="44" xfId="0" applyFont="1" applyBorder="1" applyAlignment="1">
      <alignment vertical="center" wrapText="1"/>
    </xf>
    <xf numFmtId="0" fontId="1" fillId="0" borderId="14" xfId="0" applyFont="1" applyBorder="1"/>
    <xf numFmtId="0" fontId="7" fillId="0" borderId="51"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41" xfId="0" applyFont="1" applyBorder="1" applyAlignment="1">
      <alignment horizontal="left" vertical="center" wrapText="1"/>
    </xf>
    <xf numFmtId="4" fontId="13" fillId="0" borderId="46" xfId="0" applyNumberFormat="1" applyFont="1" applyBorder="1" applyAlignment="1">
      <alignment horizontal="center" vertical="center" wrapText="1"/>
    </xf>
    <xf numFmtId="3" fontId="16" fillId="0" borderId="2" xfId="0" applyNumberFormat="1" applyFont="1" applyBorder="1" applyAlignment="1">
      <alignment horizontal="center" vertical="center" wrapText="1"/>
    </xf>
    <xf numFmtId="3" fontId="16" fillId="0" borderId="22" xfId="0" applyNumberFormat="1" applyFont="1" applyBorder="1" applyAlignment="1">
      <alignment horizontal="center" vertical="center" wrapText="1"/>
    </xf>
    <xf numFmtId="3" fontId="16" fillId="0" borderId="5" xfId="0" applyNumberFormat="1" applyFont="1" applyBorder="1" applyAlignment="1">
      <alignment horizontal="center" vertical="center" wrapText="1"/>
    </xf>
    <xf numFmtId="3" fontId="13" fillId="0" borderId="44" xfId="0" applyNumberFormat="1" applyFont="1" applyBorder="1" applyAlignment="1">
      <alignment horizontal="center" vertical="center" wrapText="1"/>
    </xf>
    <xf numFmtId="3" fontId="16" fillId="0" borderId="3" xfId="0" applyNumberFormat="1" applyFont="1" applyBorder="1" applyAlignment="1">
      <alignment horizontal="center" vertical="center" wrapText="1"/>
    </xf>
    <xf numFmtId="4" fontId="15" fillId="0" borderId="41" xfId="0" applyNumberFormat="1" applyFont="1" applyBorder="1" applyAlignment="1">
      <alignment horizontal="center" vertical="center" wrapText="1"/>
    </xf>
    <xf numFmtId="0" fontId="7" fillId="0" borderId="40" xfId="0" applyFont="1" applyBorder="1" applyAlignment="1">
      <alignment vertical="center" wrapText="1"/>
    </xf>
    <xf numFmtId="3" fontId="21" fillId="0" borderId="37" xfId="0" applyNumberFormat="1" applyFont="1" applyBorder="1" applyAlignment="1">
      <alignment horizontal="center" vertical="center" wrapText="1"/>
    </xf>
    <xf numFmtId="4" fontId="14" fillId="0" borderId="0" xfId="0" applyNumberFormat="1" applyFont="1" applyAlignment="1">
      <alignment horizontal="center" vertical="center" wrapText="1"/>
    </xf>
    <xf numFmtId="4" fontId="13" fillId="0" borderId="0" xfId="0" applyNumberFormat="1" applyFont="1" applyAlignment="1">
      <alignment horizontal="center" vertical="center" wrapText="1"/>
    </xf>
    <xf numFmtId="4" fontId="13" fillId="2" borderId="0" xfId="0" applyNumberFormat="1" applyFont="1" applyFill="1" applyAlignment="1">
      <alignment horizontal="center" vertical="center" wrapText="1"/>
    </xf>
    <xf numFmtId="0" fontId="1" fillId="0" borderId="40" xfId="0" applyFont="1" applyBorder="1"/>
    <xf numFmtId="0" fontId="7" fillId="0" borderId="55" xfId="0" applyFont="1" applyBorder="1" applyAlignment="1">
      <alignment vertical="center" wrapText="1"/>
    </xf>
    <xf numFmtId="0" fontId="13" fillId="0" borderId="2" xfId="0" applyFont="1" applyBorder="1" applyAlignment="1">
      <alignment horizontal="center" vertical="center" wrapText="1"/>
    </xf>
    <xf numFmtId="0" fontId="15" fillId="0" borderId="5" xfId="0" applyFont="1" applyBorder="1" applyAlignment="1">
      <alignment vertical="center" wrapText="1"/>
    </xf>
    <xf numFmtId="0" fontId="15" fillId="0" borderId="5" xfId="0" applyFont="1" applyBorder="1" applyAlignment="1">
      <alignment horizontal="center" vertical="center" wrapText="1"/>
    </xf>
    <xf numFmtId="0" fontId="15" fillId="0" borderId="29" xfId="0" applyFont="1" applyBorder="1" applyAlignment="1">
      <alignment horizontal="center" vertical="center" wrapText="1"/>
    </xf>
    <xf numFmtId="3" fontId="15" fillId="0" borderId="22" xfId="0" applyNumberFormat="1" applyFont="1" applyBorder="1" applyAlignment="1">
      <alignment horizontal="center" vertical="center" wrapText="1"/>
    </xf>
    <xf numFmtId="3" fontId="15" fillId="0" borderId="29" xfId="0" applyNumberFormat="1" applyFont="1" applyBorder="1" applyAlignment="1">
      <alignment horizontal="center" vertical="center" wrapText="1"/>
    </xf>
    <xf numFmtId="3" fontId="15" fillId="0" borderId="5" xfId="0" applyNumberFormat="1" applyFont="1" applyBorder="1" applyAlignment="1">
      <alignment horizontal="center" vertical="center" wrapText="1"/>
    </xf>
    <xf numFmtId="3" fontId="15" fillId="0" borderId="23" xfId="0" applyNumberFormat="1" applyFont="1" applyBorder="1" applyAlignment="1">
      <alignment horizontal="center" vertical="center" wrapText="1"/>
    </xf>
    <xf numFmtId="3" fontId="15" fillId="0" borderId="2" xfId="0" applyNumberFormat="1" applyFont="1" applyBorder="1" applyAlignment="1">
      <alignment horizontal="center" vertical="center" wrapText="1"/>
    </xf>
    <xf numFmtId="4" fontId="15" fillId="0" borderId="5" xfId="0" applyNumberFormat="1" applyFont="1" applyBorder="1" applyAlignment="1">
      <alignment horizontal="center" vertical="center" wrapText="1"/>
    </xf>
    <xf numFmtId="3" fontId="15" fillId="0" borderId="31" xfId="0" applyNumberFormat="1" applyFont="1" applyBorder="1" applyAlignment="1">
      <alignment horizontal="center" vertical="center" wrapText="1"/>
    </xf>
    <xf numFmtId="0" fontId="13" fillId="0" borderId="49" xfId="0" applyFont="1" applyBorder="1" applyAlignment="1">
      <alignment horizontal="center" vertical="center" wrapText="1"/>
    </xf>
    <xf numFmtId="0" fontId="15" fillId="0" borderId="3" xfId="0" applyFont="1" applyBorder="1" applyAlignment="1">
      <alignment vertical="center" wrapText="1"/>
    </xf>
    <xf numFmtId="0" fontId="15" fillId="0" borderId="3" xfId="0" applyFont="1" applyBorder="1" applyAlignment="1">
      <alignment horizontal="center" vertical="center" wrapText="1"/>
    </xf>
    <xf numFmtId="0" fontId="15" fillId="0" borderId="54" xfId="0" applyFont="1" applyBorder="1" applyAlignment="1">
      <alignment horizontal="center" vertical="center" wrapText="1"/>
    </xf>
    <xf numFmtId="3" fontId="15" fillId="0" borderId="44" xfId="0" applyNumberFormat="1" applyFont="1" applyBorder="1" applyAlignment="1">
      <alignment horizontal="center" vertical="center" wrapText="1"/>
    </xf>
    <xf numFmtId="3" fontId="15" fillId="0" borderId="54" xfId="0" applyNumberFormat="1" applyFont="1" applyBorder="1" applyAlignment="1">
      <alignment horizontal="center" vertical="center" wrapText="1"/>
    </xf>
    <xf numFmtId="3" fontId="15" fillId="0" borderId="3" xfId="0" applyNumberFormat="1" applyFont="1" applyBorder="1" applyAlignment="1">
      <alignment horizontal="center" vertical="center" wrapText="1"/>
    </xf>
    <xf numFmtId="3" fontId="15" fillId="0" borderId="43" xfId="0" applyNumberFormat="1" applyFont="1" applyBorder="1" applyAlignment="1">
      <alignment horizontal="center" vertical="center" wrapText="1"/>
    </xf>
    <xf numFmtId="3" fontId="15" fillId="0" borderId="36" xfId="0" applyNumberFormat="1" applyFont="1" applyBorder="1" applyAlignment="1">
      <alignment horizontal="center" vertical="center" wrapText="1"/>
    </xf>
    <xf numFmtId="3" fontId="15" fillId="0" borderId="49" xfId="0" applyNumberFormat="1" applyFont="1" applyBorder="1" applyAlignment="1">
      <alignment horizontal="center" vertical="center" wrapText="1"/>
    </xf>
    <xf numFmtId="4" fontId="15" fillId="0" borderId="3" xfId="0" applyNumberFormat="1" applyFont="1" applyBorder="1" applyAlignment="1">
      <alignment horizontal="center" vertical="center" wrapText="1"/>
    </xf>
    <xf numFmtId="3" fontId="21" fillId="0" borderId="49" xfId="0" applyNumberFormat="1" applyFont="1" applyBorder="1" applyAlignment="1">
      <alignment horizontal="center" vertical="center" wrapText="1"/>
    </xf>
    <xf numFmtId="0" fontId="15" fillId="0" borderId="5" xfId="0" applyFont="1" applyBorder="1" applyAlignment="1">
      <alignment horizontal="left" vertical="center" wrapText="1"/>
    </xf>
    <xf numFmtId="0" fontId="15" fillId="0" borderId="23" xfId="0" applyFont="1" applyBorder="1" applyAlignment="1">
      <alignment horizontal="center" vertical="center" wrapText="1"/>
    </xf>
    <xf numFmtId="3" fontId="15" fillId="0" borderId="6" xfId="0" applyNumberFormat="1" applyFont="1" applyBorder="1" applyAlignment="1">
      <alignment horizontal="center" vertical="center" wrapText="1"/>
    </xf>
    <xf numFmtId="3" fontId="23" fillId="0" borderId="2" xfId="0" applyNumberFormat="1" applyFont="1" applyBorder="1" applyAlignment="1">
      <alignment horizontal="center" vertical="center" wrapText="1"/>
    </xf>
    <xf numFmtId="4" fontId="23" fillId="0" borderId="5" xfId="0" applyNumberFormat="1" applyFont="1" applyBorder="1" applyAlignment="1">
      <alignment horizontal="center" vertical="center" wrapText="1"/>
    </xf>
    <xf numFmtId="3" fontId="23" fillId="0" borderId="5" xfId="0" applyNumberFormat="1" applyFont="1" applyBorder="1" applyAlignment="1">
      <alignment horizontal="center" vertical="center" wrapText="1"/>
    </xf>
    <xf numFmtId="4" fontId="13" fillId="0" borderId="16" xfId="0" applyNumberFormat="1" applyFont="1" applyBorder="1" applyAlignment="1">
      <alignment horizontal="center" vertical="center" wrapText="1"/>
    </xf>
    <xf numFmtId="4" fontId="13" fillId="0" borderId="12" xfId="0" applyNumberFormat="1" applyFont="1" applyBorder="1" applyAlignment="1">
      <alignment horizontal="center" vertical="center" wrapText="1"/>
    </xf>
    <xf numFmtId="4" fontId="13" fillId="0" borderId="18" xfId="0" applyNumberFormat="1" applyFont="1" applyBorder="1" applyAlignment="1">
      <alignment horizontal="center" vertical="center" wrapText="1"/>
    </xf>
    <xf numFmtId="0" fontId="11" fillId="0" borderId="41" xfId="0" applyFont="1" applyBorder="1" applyAlignment="1">
      <alignment horizontal="left" vertical="center" wrapText="1"/>
    </xf>
    <xf numFmtId="0" fontId="0" fillId="0" borderId="0" xfId="0"/>
    <xf numFmtId="0" fontId="0" fillId="0" borderId="10" xfId="0" applyBorder="1"/>
    <xf numFmtId="0" fontId="0" fillId="0" borderId="41" xfId="0" applyBorder="1"/>
    <xf numFmtId="0" fontId="1" fillId="0" borderId="0" xfId="0" applyFont="1"/>
    <xf numFmtId="0" fontId="2" fillId="0" borderId="41" xfId="0" applyFont="1" applyBorder="1" applyAlignment="1">
      <alignment horizontal="center" vertical="center" wrapText="1"/>
    </xf>
    <xf numFmtId="164" fontId="4" fillId="0" borderId="15" xfId="0" applyNumberFormat="1" applyFont="1" applyBorder="1" applyAlignment="1">
      <alignment horizontal="center" vertical="center" wrapText="1"/>
    </xf>
    <xf numFmtId="166" fontId="0" fillId="0" borderId="51" xfId="0" applyNumberFormat="1" applyBorder="1"/>
    <xf numFmtId="0" fontId="24" fillId="0" borderId="19"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16" xfId="0" applyFont="1" applyFill="1" applyBorder="1" applyAlignment="1">
      <alignment horizontal="center" vertical="center" wrapText="1"/>
    </xf>
    <xf numFmtId="10" fontId="23" fillId="0" borderId="5" xfId="0" applyNumberFormat="1" applyFont="1" applyBorder="1" applyAlignment="1">
      <alignment vertical="center"/>
    </xf>
    <xf numFmtId="0" fontId="23" fillId="0" borderId="5" xfId="0" applyFont="1" applyBorder="1" applyAlignment="1">
      <alignment vertical="center"/>
    </xf>
    <xf numFmtId="10" fontId="23" fillId="0" borderId="6" xfId="0" applyNumberFormat="1" applyFont="1" applyBorder="1" applyAlignment="1">
      <alignment vertical="center"/>
    </xf>
    <xf numFmtId="10" fontId="23" fillId="0" borderId="22" xfId="0" applyNumberFormat="1" applyFont="1" applyBorder="1" applyAlignment="1">
      <alignment horizontal="center" vertical="center"/>
    </xf>
    <xf numFmtId="0" fontId="23" fillId="0" borderId="22" xfId="0" applyFont="1" applyBorder="1" applyAlignment="1">
      <alignment horizontal="center" vertical="center"/>
    </xf>
    <xf numFmtId="10" fontId="23" fillId="0" borderId="29" xfId="0" applyNumberFormat="1" applyFont="1" applyBorder="1" applyAlignment="1">
      <alignment horizontal="center" vertical="center"/>
    </xf>
    <xf numFmtId="10" fontId="23" fillId="0" borderId="5" xfId="0" applyNumberFormat="1" applyFont="1" applyBorder="1" applyAlignment="1">
      <alignment horizontal="center" vertical="center"/>
    </xf>
    <xf numFmtId="0" fontId="23" fillId="0" borderId="5" xfId="0" applyFont="1" applyBorder="1" applyAlignment="1">
      <alignment horizontal="center" vertical="center"/>
    </xf>
    <xf numFmtId="10" fontId="23" fillId="0" borderId="6" xfId="0" applyNumberFormat="1" applyFont="1" applyBorder="1" applyAlignment="1">
      <alignment horizontal="center" vertical="center"/>
    </xf>
    <xf numFmtId="10" fontId="23" fillId="0" borderId="33" xfId="0" applyNumberFormat="1" applyFont="1" applyBorder="1" applyAlignment="1">
      <alignment horizontal="center" vertical="center"/>
    </xf>
    <xf numFmtId="0" fontId="23" fillId="0" borderId="33" xfId="0" applyFont="1" applyBorder="1" applyAlignment="1">
      <alignment horizontal="center" vertical="center"/>
    </xf>
    <xf numFmtId="10" fontId="23" fillId="0" borderId="34" xfId="0" applyNumberFormat="1" applyFont="1" applyBorder="1" applyAlignment="1">
      <alignment horizontal="center" vertical="center"/>
    </xf>
    <xf numFmtId="167" fontId="0" fillId="0" borderId="0" xfId="0" applyNumberFormat="1"/>
    <xf numFmtId="165" fontId="24" fillId="0" borderId="33" xfId="0" applyNumberFormat="1" applyFont="1" applyBorder="1" applyAlignment="1">
      <alignment horizontal="center" vertical="center"/>
    </xf>
    <xf numFmtId="168" fontId="23" fillId="0" borderId="2" xfId="0" applyNumberFormat="1" applyFont="1" applyBorder="1" applyAlignment="1">
      <alignment vertical="center"/>
    </xf>
    <xf numFmtId="168" fontId="23" fillId="0" borderId="5" xfId="0" applyNumberFormat="1" applyFont="1" applyBorder="1" applyAlignment="1">
      <alignment vertical="center"/>
    </xf>
    <xf numFmtId="168" fontId="23" fillId="0" borderId="21" xfId="0" applyNumberFormat="1" applyFont="1" applyBorder="1" applyAlignment="1">
      <alignment horizontal="center" vertical="center"/>
    </xf>
    <xf numFmtId="168" fontId="23" fillId="0" borderId="22" xfId="0" applyNumberFormat="1" applyFont="1" applyBorder="1" applyAlignment="1">
      <alignment horizontal="center" vertical="center"/>
    </xf>
    <xf numFmtId="168" fontId="23" fillId="0" borderId="2" xfId="0" applyNumberFormat="1" applyFont="1" applyBorder="1" applyAlignment="1">
      <alignment horizontal="center" vertical="center"/>
    </xf>
    <xf numFmtId="168" fontId="23" fillId="0" borderId="5" xfId="0" applyNumberFormat="1" applyFont="1" applyBorder="1" applyAlignment="1">
      <alignment horizontal="center" vertical="center"/>
    </xf>
    <xf numFmtId="168" fontId="24" fillId="0" borderId="22" xfId="0" applyNumberFormat="1" applyFont="1" applyBorder="1" applyAlignment="1">
      <alignment horizontal="center" vertical="center"/>
    </xf>
    <xf numFmtId="168" fontId="24" fillId="0" borderId="5" xfId="0" applyNumberFormat="1" applyFont="1" applyBorder="1" applyAlignment="1">
      <alignment horizontal="center" vertical="center"/>
    </xf>
    <xf numFmtId="168" fontId="24" fillId="0" borderId="5" xfId="0" applyNumberFormat="1" applyFont="1" applyBorder="1" applyAlignment="1">
      <alignment vertical="center"/>
    </xf>
    <xf numFmtId="168" fontId="23" fillId="0" borderId="32" xfId="0" applyNumberFormat="1" applyFont="1" applyBorder="1" applyAlignment="1">
      <alignment horizontal="center" vertical="center"/>
    </xf>
    <xf numFmtId="168" fontId="23" fillId="0" borderId="33" xfId="0" applyNumberFormat="1" applyFont="1" applyBorder="1" applyAlignment="1">
      <alignment horizontal="center" vertical="center"/>
    </xf>
    <xf numFmtId="0" fontId="0" fillId="0" borderId="11" xfId="0" applyBorder="1"/>
    <xf numFmtId="0" fontId="0" fillId="0" borderId="10" xfId="0" applyBorder="1"/>
    <xf numFmtId="0" fontId="0" fillId="0" borderId="41" xfId="0" applyBorder="1"/>
    <xf numFmtId="0" fontId="0" fillId="0" borderId="0" xfId="0" applyFill="1"/>
    <xf numFmtId="0" fontId="0" fillId="0" borderId="4" xfId="0" applyFill="1" applyBorder="1"/>
    <xf numFmtId="0" fontId="0" fillId="0" borderId="4" xfId="0" applyBorder="1"/>
    <xf numFmtId="0" fontId="0" fillId="0" borderId="61" xfId="0" applyBorder="1"/>
    <xf numFmtId="0" fontId="0" fillId="0" borderId="66" xfId="0" applyBorder="1"/>
    <xf numFmtId="3" fontId="29" fillId="0" borderId="12" xfId="0" applyNumberFormat="1" applyFont="1" applyBorder="1" applyAlignment="1">
      <alignment horizontal="center" vertical="center" wrapText="1"/>
    </xf>
    <xf numFmtId="3" fontId="29" fillId="0" borderId="5" xfId="0" applyNumberFormat="1" applyFont="1" applyBorder="1" applyAlignment="1">
      <alignment horizontal="center" vertical="center" wrapText="1"/>
    </xf>
    <xf numFmtId="3" fontId="29" fillId="0" borderId="25" xfId="0" applyNumberFormat="1" applyFont="1" applyBorder="1" applyAlignment="1">
      <alignment horizontal="center" vertical="center" wrapText="1"/>
    </xf>
    <xf numFmtId="3" fontId="13" fillId="0" borderId="59" xfId="0" applyNumberFormat="1" applyFont="1" applyBorder="1" applyAlignment="1">
      <alignment horizontal="center" vertical="center" wrapText="1"/>
    </xf>
    <xf numFmtId="3" fontId="13" fillId="0" borderId="39" xfId="0" applyNumberFormat="1" applyFont="1" applyBorder="1" applyAlignment="1">
      <alignment horizontal="center" vertical="center" wrapText="1"/>
    </xf>
    <xf numFmtId="4" fontId="13" fillId="2" borderId="13" xfId="0" applyNumberFormat="1" applyFont="1" applyFill="1" applyBorder="1" applyAlignment="1">
      <alignment horizontal="center" vertical="center" wrapText="1"/>
    </xf>
    <xf numFmtId="0" fontId="13" fillId="0" borderId="2" xfId="0" applyFont="1" applyFill="1" applyBorder="1" applyAlignment="1">
      <alignment horizontal="center" vertical="center" wrapText="1"/>
    </xf>
    <xf numFmtId="0" fontId="15" fillId="0" borderId="5" xfId="0" applyFont="1" applyFill="1" applyBorder="1" applyAlignment="1">
      <alignment horizontal="left" vertical="center" wrapText="1"/>
    </xf>
    <xf numFmtId="0" fontId="15" fillId="0" borderId="5" xfId="0" applyFont="1" applyFill="1" applyBorder="1" applyAlignment="1">
      <alignment horizontal="center" vertical="center" wrapText="1"/>
    </xf>
    <xf numFmtId="0" fontId="15" fillId="0" borderId="23" xfId="0" applyFont="1" applyFill="1" applyBorder="1" applyAlignment="1">
      <alignment horizontal="center" vertical="center" wrapText="1"/>
    </xf>
    <xf numFmtId="3" fontId="13" fillId="0" borderId="2" xfId="0" applyNumberFormat="1" applyFont="1" applyFill="1" applyBorder="1" applyAlignment="1">
      <alignment horizontal="center" vertical="center" wrapText="1"/>
    </xf>
    <xf numFmtId="3" fontId="15" fillId="0" borderId="5" xfId="0" applyNumberFormat="1" applyFont="1" applyFill="1" applyBorder="1" applyAlignment="1">
      <alignment horizontal="center" vertical="center" wrapText="1"/>
    </xf>
    <xf numFmtId="3" fontId="15" fillId="0" borderId="6" xfId="0" applyNumberFormat="1" applyFont="1" applyFill="1" applyBorder="1" applyAlignment="1">
      <alignment horizontal="center" vertical="center" wrapText="1"/>
    </xf>
    <xf numFmtId="3" fontId="13" fillId="0" borderId="30" xfId="0" applyNumberFormat="1" applyFont="1" applyFill="1" applyBorder="1" applyAlignment="1">
      <alignment horizontal="center" vertical="center" wrapText="1"/>
    </xf>
    <xf numFmtId="3" fontId="15" fillId="0" borderId="31" xfId="0" applyNumberFormat="1" applyFont="1" applyFill="1" applyBorder="1" applyAlignment="1">
      <alignment horizontal="center" vertical="center" wrapText="1"/>
    </xf>
    <xf numFmtId="3" fontId="23" fillId="0" borderId="2" xfId="0" applyNumberFormat="1" applyFont="1" applyFill="1" applyBorder="1" applyAlignment="1">
      <alignment horizontal="center" vertical="center" wrapText="1"/>
    </xf>
    <xf numFmtId="4" fontId="23" fillId="0" borderId="5" xfId="0" applyNumberFormat="1" applyFont="1" applyFill="1" applyBorder="1" applyAlignment="1">
      <alignment horizontal="center" vertical="center" wrapText="1"/>
    </xf>
    <xf numFmtId="4" fontId="15" fillId="0" borderId="22" xfId="0" applyNumberFormat="1" applyFont="1" applyFill="1" applyBorder="1" applyAlignment="1">
      <alignment horizontal="center" vertical="center" wrapText="1"/>
    </xf>
    <xf numFmtId="3" fontId="24" fillId="0" borderId="5" xfId="0" applyNumberFormat="1" applyFont="1" applyFill="1" applyBorder="1" applyAlignment="1">
      <alignment horizontal="center" vertical="center" wrapText="1"/>
    </xf>
    <xf numFmtId="3" fontId="23" fillId="0" borderId="5" xfId="0" applyNumberFormat="1" applyFont="1" applyFill="1" applyBorder="1" applyAlignment="1">
      <alignment horizontal="center" vertical="center" wrapText="1"/>
    </xf>
    <xf numFmtId="3" fontId="23" fillId="0" borderId="31" xfId="0" applyNumberFormat="1" applyFont="1" applyFill="1" applyBorder="1" applyAlignment="1">
      <alignment horizontal="center" vertical="center" wrapText="1"/>
    </xf>
    <xf numFmtId="3" fontId="21" fillId="0" borderId="2" xfId="0" applyNumberFormat="1" applyFont="1" applyFill="1" applyBorder="1" applyAlignment="1">
      <alignment horizontal="center" vertical="center" wrapText="1"/>
    </xf>
    <xf numFmtId="3" fontId="21" fillId="0" borderId="5" xfId="0" applyNumberFormat="1" applyFont="1" applyFill="1" applyBorder="1" applyAlignment="1">
      <alignment horizontal="center" vertical="center" wrapText="1"/>
    </xf>
    <xf numFmtId="9" fontId="13" fillId="0" borderId="6" xfId="0" applyNumberFormat="1" applyFont="1" applyFill="1" applyBorder="1" applyAlignment="1">
      <alignment horizontal="center" vertical="center" wrapText="1"/>
    </xf>
    <xf numFmtId="3" fontId="29" fillId="0" borderId="5" xfId="0" applyNumberFormat="1" applyFont="1" applyFill="1" applyBorder="1" applyAlignment="1">
      <alignment horizontal="center" vertical="center" wrapText="1"/>
    </xf>
    <xf numFmtId="168" fontId="23" fillId="0" borderId="2" xfId="0" applyNumberFormat="1" applyFont="1" applyFill="1" applyBorder="1" applyAlignment="1">
      <alignment horizontal="center" vertical="center"/>
    </xf>
    <xf numFmtId="168" fontId="23" fillId="0" borderId="5" xfId="0" applyNumberFormat="1" applyFont="1" applyFill="1" applyBorder="1" applyAlignment="1">
      <alignment horizontal="center" vertical="center"/>
    </xf>
    <xf numFmtId="10" fontId="23" fillId="0" borderId="5" xfId="0" applyNumberFormat="1" applyFont="1" applyFill="1" applyBorder="1" applyAlignment="1">
      <alignment horizontal="center" vertical="center"/>
    </xf>
    <xf numFmtId="0" fontId="23" fillId="0" borderId="5" xfId="0" applyFont="1" applyFill="1" applyBorder="1" applyAlignment="1">
      <alignment horizontal="center" vertical="center"/>
    </xf>
    <xf numFmtId="168" fontId="24" fillId="0" borderId="5" xfId="0" applyNumberFormat="1" applyFont="1" applyFill="1" applyBorder="1" applyAlignment="1">
      <alignment horizontal="center" vertical="center"/>
    </xf>
    <xf numFmtId="10" fontId="23" fillId="0" borderId="6" xfId="0" applyNumberFormat="1" applyFont="1" applyFill="1" applyBorder="1" applyAlignment="1">
      <alignment horizontal="center" vertical="center"/>
    </xf>
    <xf numFmtId="0" fontId="13" fillId="0" borderId="21" xfId="0" applyFont="1" applyFill="1" applyBorder="1" applyAlignment="1">
      <alignment horizontal="center" vertical="center" wrapText="1"/>
    </xf>
    <xf numFmtId="0" fontId="15" fillId="0" borderId="22" xfId="0" applyFont="1" applyFill="1" applyBorder="1" applyAlignment="1">
      <alignment vertical="center" wrapText="1"/>
    </xf>
    <xf numFmtId="0" fontId="15" fillId="0" borderId="22" xfId="0" applyFont="1" applyFill="1" applyBorder="1" applyAlignment="1">
      <alignment horizontal="center" vertical="center" wrapText="1"/>
    </xf>
    <xf numFmtId="0" fontId="15" fillId="0" borderId="5" xfId="0" applyFont="1" applyFill="1" applyBorder="1" applyAlignment="1">
      <alignment vertical="center" wrapText="1"/>
    </xf>
    <xf numFmtId="3" fontId="15" fillId="0" borderId="22" xfId="0" applyNumberFormat="1" applyFont="1" applyFill="1" applyBorder="1" applyAlignment="1">
      <alignment horizontal="center" vertical="center" wrapText="1"/>
    </xf>
    <xf numFmtId="3" fontId="15" fillId="0" borderId="29" xfId="0" applyNumberFormat="1" applyFont="1" applyFill="1" applyBorder="1" applyAlignment="1">
      <alignment horizontal="center" vertical="center" wrapText="1"/>
    </xf>
    <xf numFmtId="0" fontId="13" fillId="0" borderId="49" xfId="0" applyFont="1" applyFill="1" applyBorder="1" applyAlignment="1">
      <alignment horizontal="center" vertical="center" wrapText="1"/>
    </xf>
    <xf numFmtId="0" fontId="15" fillId="0" borderId="3" xfId="0" applyFont="1" applyFill="1" applyBorder="1" applyAlignment="1">
      <alignment vertical="center" wrapText="1"/>
    </xf>
    <xf numFmtId="0" fontId="15" fillId="0" borderId="3" xfId="0" applyFont="1" applyFill="1" applyBorder="1" applyAlignment="1">
      <alignment horizontal="center" vertical="center" wrapText="1"/>
    </xf>
    <xf numFmtId="0" fontId="15" fillId="0" borderId="43" xfId="0" applyFont="1" applyFill="1" applyBorder="1" applyAlignment="1">
      <alignment horizontal="center" vertical="center" wrapText="1"/>
    </xf>
    <xf numFmtId="3" fontId="13" fillId="0" borderId="49" xfId="0" applyNumberFormat="1" applyFont="1" applyFill="1" applyBorder="1" applyAlignment="1">
      <alignment horizontal="center" vertical="center" wrapText="1"/>
    </xf>
    <xf numFmtId="3" fontId="15" fillId="0" borderId="3" xfId="0" applyNumberFormat="1" applyFont="1" applyFill="1" applyBorder="1" applyAlignment="1">
      <alignment horizontal="center" vertical="center" wrapText="1"/>
    </xf>
    <xf numFmtId="3" fontId="15" fillId="0" borderId="53" xfId="0" applyNumberFormat="1" applyFont="1" applyFill="1" applyBorder="1" applyAlignment="1">
      <alignment horizontal="center" vertical="center" wrapText="1"/>
    </xf>
    <xf numFmtId="3" fontId="16" fillId="0" borderId="35" xfId="0" applyNumberFormat="1" applyFont="1" applyFill="1" applyBorder="1" applyAlignment="1">
      <alignment horizontal="center" vertical="center" wrapText="1"/>
    </xf>
    <xf numFmtId="3" fontId="15" fillId="0" borderId="36" xfId="0" applyNumberFormat="1" applyFont="1" applyFill="1" applyBorder="1" applyAlignment="1">
      <alignment horizontal="center" vertical="center" wrapText="1"/>
    </xf>
    <xf numFmtId="3" fontId="23" fillId="0" borderId="32" xfId="0" applyNumberFormat="1" applyFont="1" applyFill="1" applyBorder="1" applyAlignment="1">
      <alignment horizontal="center" vertical="center" wrapText="1"/>
    </xf>
    <xf numFmtId="4" fontId="23" fillId="0" borderId="33" xfId="0" applyNumberFormat="1" applyFont="1" applyFill="1" applyBorder="1" applyAlignment="1">
      <alignment horizontal="center" vertical="center" wrapText="1"/>
    </xf>
    <xf numFmtId="3" fontId="24" fillId="0" borderId="33" xfId="0" applyNumberFormat="1" applyFont="1" applyFill="1" applyBorder="1" applyAlignment="1">
      <alignment horizontal="center" vertical="center" wrapText="1"/>
    </xf>
    <xf numFmtId="3" fontId="23" fillId="0" borderId="33" xfId="0" applyNumberFormat="1" applyFont="1" applyFill="1" applyBorder="1" applyAlignment="1">
      <alignment horizontal="center" vertical="center" wrapText="1"/>
    </xf>
    <xf numFmtId="3" fontId="23" fillId="0" borderId="56" xfId="0" applyNumberFormat="1" applyFont="1" applyFill="1" applyBorder="1" applyAlignment="1">
      <alignment horizontal="center" vertical="center" wrapText="1"/>
    </xf>
    <xf numFmtId="3" fontId="21" fillId="0" borderId="32" xfId="0" applyNumberFormat="1" applyFont="1" applyFill="1" applyBorder="1" applyAlignment="1">
      <alignment horizontal="center" vertical="center" wrapText="1"/>
    </xf>
    <xf numFmtId="3" fontId="15" fillId="0" borderId="33" xfId="0" applyNumberFormat="1" applyFont="1" applyFill="1" applyBorder="1" applyAlignment="1">
      <alignment horizontal="center" vertical="center" wrapText="1"/>
    </xf>
    <xf numFmtId="3" fontId="21" fillId="0" borderId="3" xfId="0" applyNumberFormat="1" applyFont="1" applyFill="1" applyBorder="1" applyAlignment="1">
      <alignment horizontal="center" vertical="center" wrapText="1"/>
    </xf>
    <xf numFmtId="9" fontId="13" fillId="0" borderId="53" xfId="0" applyNumberFormat="1" applyFont="1" applyFill="1" applyBorder="1" applyAlignment="1">
      <alignment horizontal="center" vertical="center" wrapText="1"/>
    </xf>
    <xf numFmtId="3" fontId="29" fillId="0" borderId="33" xfId="0" applyNumberFormat="1" applyFont="1" applyFill="1" applyBorder="1" applyAlignment="1">
      <alignment horizontal="center" vertical="center" wrapText="1"/>
    </xf>
    <xf numFmtId="3" fontId="21" fillId="0" borderId="33" xfId="0" applyNumberFormat="1" applyFont="1" applyFill="1" applyBorder="1" applyAlignment="1">
      <alignment horizontal="center" vertical="center" wrapText="1"/>
    </xf>
    <xf numFmtId="168" fontId="23" fillId="0" borderId="32" xfId="0" applyNumberFormat="1" applyFont="1" applyFill="1" applyBorder="1" applyAlignment="1">
      <alignment horizontal="center" vertical="center"/>
    </xf>
    <xf numFmtId="168" fontId="23" fillId="0" borderId="33" xfId="0" applyNumberFormat="1" applyFont="1" applyFill="1" applyBorder="1" applyAlignment="1">
      <alignment horizontal="center" vertical="center"/>
    </xf>
    <xf numFmtId="10" fontId="23" fillId="0" borderId="33" xfId="0" applyNumberFormat="1" applyFont="1" applyFill="1" applyBorder="1" applyAlignment="1">
      <alignment horizontal="center" vertical="center"/>
    </xf>
    <xf numFmtId="0" fontId="23" fillId="0" borderId="33" xfId="0" applyFont="1" applyFill="1" applyBorder="1" applyAlignment="1">
      <alignment horizontal="center" vertical="center"/>
    </xf>
    <xf numFmtId="168" fontId="24" fillId="0" borderId="33" xfId="0" applyNumberFormat="1" applyFont="1" applyFill="1" applyBorder="1" applyAlignment="1">
      <alignment horizontal="center" vertical="center"/>
    </xf>
    <xf numFmtId="10" fontId="23" fillId="0" borderId="34" xfId="0" applyNumberFormat="1"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29" xfId="0" applyFont="1" applyFill="1" applyBorder="1" applyAlignment="1">
      <alignment horizontal="center" vertical="center" wrapText="1"/>
    </xf>
    <xf numFmtId="3" fontId="13" fillId="0" borderId="27" xfId="0" applyNumberFormat="1" applyFont="1" applyFill="1" applyBorder="1" applyAlignment="1">
      <alignment horizontal="center" vertical="center" wrapText="1"/>
    </xf>
    <xf numFmtId="3" fontId="13" fillId="0" borderId="24" xfId="0" applyNumberFormat="1" applyFont="1" applyFill="1" applyBorder="1" applyAlignment="1">
      <alignment horizontal="center" vertical="center" wrapText="1"/>
    </xf>
    <xf numFmtId="3" fontId="15" fillId="0" borderId="25" xfId="0" applyNumberFormat="1" applyFont="1" applyFill="1" applyBorder="1" applyAlignment="1">
      <alignment horizontal="center" vertical="center" wrapText="1"/>
    </xf>
    <xf numFmtId="3" fontId="15" fillId="0" borderId="26" xfId="0" applyNumberFormat="1" applyFont="1" applyFill="1" applyBorder="1" applyAlignment="1">
      <alignment horizontal="center" vertical="center" wrapText="1"/>
    </xf>
    <xf numFmtId="3" fontId="15" fillId="0" borderId="23" xfId="0" applyNumberFormat="1" applyFont="1" applyFill="1" applyBorder="1" applyAlignment="1">
      <alignment horizontal="center" vertical="center" wrapText="1"/>
    </xf>
    <xf numFmtId="3" fontId="23" fillId="0" borderId="21" xfId="0" applyNumberFormat="1" applyFont="1" applyFill="1" applyBorder="1" applyAlignment="1">
      <alignment horizontal="center" vertical="center" wrapText="1"/>
    </xf>
    <xf numFmtId="4" fontId="23" fillId="0" borderId="22" xfId="0" applyNumberFormat="1" applyFont="1" applyFill="1" applyBorder="1" applyAlignment="1">
      <alignment horizontal="center" vertical="center" wrapText="1"/>
    </xf>
    <xf numFmtId="3" fontId="24" fillId="0" borderId="22" xfId="0" applyNumberFormat="1" applyFont="1" applyFill="1" applyBorder="1" applyAlignment="1">
      <alignment horizontal="center" vertical="center" wrapText="1"/>
    </xf>
    <xf numFmtId="3" fontId="23" fillId="0" borderId="22" xfId="0" applyNumberFormat="1" applyFont="1" applyFill="1" applyBorder="1" applyAlignment="1">
      <alignment horizontal="center" vertical="center" wrapText="1"/>
    </xf>
    <xf numFmtId="3" fontId="23" fillId="0" borderId="23" xfId="0" applyNumberFormat="1" applyFont="1" applyFill="1" applyBorder="1" applyAlignment="1">
      <alignment horizontal="center" vertical="center" wrapText="1"/>
    </xf>
    <xf numFmtId="3" fontId="21" fillId="0" borderId="24" xfId="0" applyNumberFormat="1" applyFont="1" applyFill="1" applyBorder="1" applyAlignment="1">
      <alignment horizontal="center" vertical="center" wrapText="1"/>
    </xf>
    <xf numFmtId="3" fontId="15" fillId="0" borderId="28" xfId="0" applyNumberFormat="1" applyFont="1" applyFill="1" applyBorder="1" applyAlignment="1">
      <alignment horizontal="center" vertical="center" wrapText="1"/>
    </xf>
    <xf numFmtId="3" fontId="21" fillId="0" borderId="25" xfId="0" applyNumberFormat="1" applyFont="1" applyFill="1" applyBorder="1" applyAlignment="1">
      <alignment horizontal="center" vertical="center" wrapText="1"/>
    </xf>
    <xf numFmtId="9" fontId="21" fillId="0" borderId="26" xfId="0" applyNumberFormat="1" applyFont="1" applyFill="1" applyBorder="1" applyAlignment="1">
      <alignment horizontal="center" vertical="center" wrapText="1"/>
    </xf>
    <xf numFmtId="3" fontId="29" fillId="0" borderId="12" xfId="0" applyNumberFormat="1" applyFont="1" applyFill="1" applyBorder="1" applyAlignment="1">
      <alignment horizontal="center" vertical="center" wrapText="1"/>
    </xf>
    <xf numFmtId="168" fontId="23" fillId="0" borderId="24" xfId="0" applyNumberFormat="1" applyFont="1" applyFill="1" applyBorder="1" applyAlignment="1">
      <alignment vertical="center"/>
    </xf>
    <xf numFmtId="168" fontId="23" fillId="0" borderId="25" xfId="0" applyNumberFormat="1" applyFont="1" applyFill="1" applyBorder="1" applyAlignment="1">
      <alignment vertical="center"/>
    </xf>
    <xf numFmtId="10" fontId="23" fillId="0" borderId="25" xfId="0" applyNumberFormat="1" applyFont="1" applyFill="1" applyBorder="1" applyAlignment="1">
      <alignment vertical="center"/>
    </xf>
    <xf numFmtId="0" fontId="23" fillId="0" borderId="25" xfId="0" applyFont="1" applyFill="1" applyBorder="1" applyAlignment="1">
      <alignment vertical="center"/>
    </xf>
    <xf numFmtId="168" fontId="24" fillId="0" borderId="25" xfId="0" applyNumberFormat="1" applyFont="1" applyFill="1" applyBorder="1" applyAlignment="1">
      <alignment vertical="center"/>
    </xf>
    <xf numFmtId="10" fontId="23" fillId="0" borderId="26" xfId="0" applyNumberFormat="1" applyFont="1" applyFill="1" applyBorder="1" applyAlignment="1">
      <alignment vertical="center"/>
    </xf>
    <xf numFmtId="3" fontId="13" fillId="0" borderId="21" xfId="0" applyNumberFormat="1" applyFont="1" applyFill="1" applyBorder="1" applyAlignment="1">
      <alignment horizontal="center" vertical="center" wrapText="1"/>
    </xf>
    <xf numFmtId="9" fontId="21" fillId="0" borderId="6" xfId="0" applyNumberFormat="1" applyFont="1" applyFill="1" applyBorder="1" applyAlignment="1">
      <alignment horizontal="center" vertical="center" wrapText="1"/>
    </xf>
    <xf numFmtId="168" fontId="23" fillId="0" borderId="2" xfId="0" applyNumberFormat="1" applyFont="1" applyFill="1" applyBorder="1" applyAlignment="1">
      <alignment vertical="center"/>
    </xf>
    <xf numFmtId="168" fontId="23" fillId="0" borderId="5" xfId="0" applyNumberFormat="1" applyFont="1" applyFill="1" applyBorder="1" applyAlignment="1">
      <alignment vertical="center"/>
    </xf>
    <xf numFmtId="10" fontId="23" fillId="0" borderId="5" xfId="0" applyNumberFormat="1" applyFont="1" applyFill="1" applyBorder="1" applyAlignment="1">
      <alignment vertical="center"/>
    </xf>
    <xf numFmtId="0" fontId="23" fillId="0" borderId="5" xfId="0" applyFont="1" applyFill="1" applyBorder="1" applyAlignment="1">
      <alignment vertical="center"/>
    </xf>
    <xf numFmtId="168" fontId="24" fillId="0" borderId="5" xfId="0" applyNumberFormat="1" applyFont="1" applyFill="1" applyBorder="1" applyAlignment="1">
      <alignment vertical="center"/>
    </xf>
    <xf numFmtId="10" fontId="23" fillId="0" borderId="6" xfId="0" applyNumberFormat="1" applyFont="1" applyFill="1" applyBorder="1" applyAlignment="1">
      <alignment vertical="center"/>
    </xf>
    <xf numFmtId="3" fontId="21" fillId="0" borderId="47" xfId="0" applyNumberFormat="1" applyFont="1" applyFill="1" applyBorder="1" applyAlignment="1">
      <alignment horizontal="center" vertical="center" wrapText="1"/>
    </xf>
    <xf numFmtId="3" fontId="15" fillId="0" borderId="37" xfId="0" applyNumberFormat="1" applyFont="1" applyFill="1" applyBorder="1" applyAlignment="1">
      <alignment horizontal="center" vertical="center" wrapText="1"/>
    </xf>
    <xf numFmtId="3" fontId="15" fillId="0" borderId="45" xfId="0" applyNumberFormat="1" applyFont="1" applyFill="1" applyBorder="1" applyAlignment="1">
      <alignment horizontal="center" vertical="center" wrapText="1"/>
    </xf>
    <xf numFmtId="9" fontId="21" fillId="0" borderId="34" xfId="0" applyNumberFormat="1" applyFont="1" applyFill="1" applyBorder="1" applyAlignment="1">
      <alignment horizontal="center" vertical="center" wrapText="1"/>
    </xf>
    <xf numFmtId="168" fontId="23" fillId="0" borderId="32" xfId="0" applyNumberFormat="1" applyFont="1" applyFill="1" applyBorder="1" applyAlignment="1">
      <alignment vertical="center"/>
    </xf>
    <xf numFmtId="168" fontId="23" fillId="0" borderId="33" xfId="0" applyNumberFormat="1" applyFont="1" applyFill="1" applyBorder="1" applyAlignment="1">
      <alignment vertical="center"/>
    </xf>
    <xf numFmtId="10" fontId="23" fillId="0" borderId="33" xfId="0" applyNumberFormat="1" applyFont="1" applyFill="1" applyBorder="1" applyAlignment="1">
      <alignment vertical="center"/>
    </xf>
    <xf numFmtId="0" fontId="23" fillId="0" borderId="33" xfId="0" applyFont="1" applyFill="1" applyBorder="1" applyAlignment="1">
      <alignment vertical="center"/>
    </xf>
    <xf numFmtId="168" fontId="24" fillId="0" borderId="33" xfId="0" applyNumberFormat="1" applyFont="1" applyFill="1" applyBorder="1" applyAlignment="1">
      <alignment vertical="center"/>
    </xf>
    <xf numFmtId="10" fontId="23" fillId="0" borderId="34" xfId="0" applyNumberFormat="1" applyFont="1" applyFill="1" applyBorder="1" applyAlignment="1">
      <alignment vertical="center"/>
    </xf>
    <xf numFmtId="3" fontId="13" fillId="0" borderId="22" xfId="0" applyNumberFormat="1" applyFont="1" applyFill="1" applyBorder="1" applyAlignment="1">
      <alignment horizontal="center" vertical="center" wrapText="1"/>
    </xf>
    <xf numFmtId="3" fontId="15" fillId="0" borderId="2" xfId="0" applyNumberFormat="1" applyFont="1" applyFill="1" applyBorder="1" applyAlignment="1">
      <alignment horizontal="center" vertical="center" wrapText="1"/>
    </xf>
    <xf numFmtId="4" fontId="15" fillId="0" borderId="5" xfId="0" applyNumberFormat="1" applyFont="1" applyFill="1" applyBorder="1" applyAlignment="1">
      <alignment horizontal="center" vertical="center" wrapText="1"/>
    </xf>
    <xf numFmtId="3" fontId="16" fillId="0" borderId="5" xfId="0" applyNumberFormat="1" applyFont="1" applyFill="1" applyBorder="1" applyAlignment="1">
      <alignment horizontal="center" vertical="center" wrapText="1"/>
    </xf>
    <xf numFmtId="3" fontId="16" fillId="0" borderId="2" xfId="0" applyNumberFormat="1" applyFont="1" applyFill="1" applyBorder="1" applyAlignment="1">
      <alignment horizontal="center" vertical="center" wrapText="1"/>
    </xf>
    <xf numFmtId="0" fontId="5" fillId="0" borderId="61" xfId="0" applyFont="1" applyBorder="1" applyAlignment="1">
      <alignment vertical="center" wrapText="1"/>
    </xf>
    <xf numFmtId="0" fontId="5" fillId="0" borderId="66" xfId="0" applyFont="1" applyBorder="1" applyAlignment="1">
      <alignment vertical="center" wrapText="1"/>
    </xf>
    <xf numFmtId="0" fontId="0" fillId="0" borderId="60" xfId="0" applyBorder="1"/>
    <xf numFmtId="0" fontId="7" fillId="0" borderId="0" xfId="0" applyFont="1" applyBorder="1" applyAlignment="1">
      <alignment horizontal="left" vertical="center" wrapText="1"/>
    </xf>
    <xf numFmtId="0" fontId="0" fillId="0" borderId="0" xfId="0" applyBorder="1"/>
    <xf numFmtId="0" fontId="10" fillId="0" borderId="0" xfId="0" applyFont="1" applyBorder="1" applyAlignment="1">
      <alignment vertical="center"/>
    </xf>
    <xf numFmtId="0" fontId="7" fillId="0" borderId="0" xfId="0" applyFont="1" applyBorder="1" applyAlignment="1">
      <alignment wrapText="1"/>
    </xf>
    <xf numFmtId="0" fontId="7" fillId="0" borderId="0" xfId="0" applyFont="1" applyBorder="1" applyAlignment="1">
      <alignment horizontal="center" wrapText="1"/>
    </xf>
    <xf numFmtId="4" fontId="13" fillId="0" borderId="69" xfId="0" applyNumberFormat="1" applyFont="1" applyBorder="1" applyAlignment="1">
      <alignment horizontal="center" vertical="center" wrapText="1"/>
    </xf>
    <xf numFmtId="4" fontId="13" fillId="0" borderId="63" xfId="0" applyNumberFormat="1" applyFont="1" applyBorder="1" applyAlignment="1">
      <alignment horizontal="center" vertical="center" wrapText="1"/>
    </xf>
    <xf numFmtId="4" fontId="15" fillId="0" borderId="23" xfId="0" applyNumberFormat="1" applyFont="1" applyBorder="1" applyAlignment="1">
      <alignment horizontal="center" vertical="center" wrapText="1"/>
    </xf>
    <xf numFmtId="4" fontId="15" fillId="0" borderId="23" xfId="0" applyNumberFormat="1" applyFont="1" applyFill="1" applyBorder="1" applyAlignment="1">
      <alignment horizontal="center" vertical="center" wrapText="1"/>
    </xf>
    <xf numFmtId="3" fontId="13" fillId="0" borderId="5" xfId="0" applyNumberFormat="1" applyFont="1" applyBorder="1" applyAlignment="1">
      <alignment horizontal="center" vertical="center" wrapText="1"/>
    </xf>
    <xf numFmtId="3" fontId="23" fillId="3" borderId="30" xfId="0" applyNumberFormat="1" applyFont="1" applyFill="1" applyBorder="1" applyAlignment="1">
      <alignment horizontal="center" vertical="center" wrapText="1"/>
    </xf>
    <xf numFmtId="3" fontId="23" fillId="0" borderId="30" xfId="0" applyNumberFormat="1" applyFont="1" applyFill="1" applyBorder="1" applyAlignment="1">
      <alignment horizontal="center" vertical="center" wrapText="1"/>
    </xf>
    <xf numFmtId="3" fontId="23" fillId="0" borderId="58" xfId="0" applyNumberFormat="1" applyFont="1" applyFill="1" applyBorder="1" applyAlignment="1">
      <alignment horizontal="center" vertical="center" wrapText="1"/>
    </xf>
    <xf numFmtId="164" fontId="4" fillId="0" borderId="61" xfId="0" applyNumberFormat="1" applyFont="1" applyBorder="1" applyAlignment="1">
      <alignment horizontal="center" vertical="center" wrapText="1"/>
    </xf>
    <xf numFmtId="0" fontId="5" fillId="0" borderId="61" xfId="0" applyFont="1" applyBorder="1" applyAlignment="1">
      <alignment horizontal="center" vertical="center" wrapText="1"/>
    </xf>
    <xf numFmtId="0" fontId="1" fillId="0" borderId="61" xfId="0" applyFont="1" applyBorder="1"/>
    <xf numFmtId="0" fontId="3" fillId="0" borderId="61" xfId="0" applyFont="1" applyBorder="1" applyAlignment="1">
      <alignment horizontal="center" vertical="center" wrapText="1"/>
    </xf>
    <xf numFmtId="0" fontId="3" fillId="0" borderId="61" xfId="0" applyFont="1" applyBorder="1" applyAlignment="1">
      <alignment vertical="center" wrapText="1"/>
    </xf>
    <xf numFmtId="4" fontId="15" fillId="0" borderId="61" xfId="0" applyNumberFormat="1" applyFont="1" applyBorder="1" applyAlignment="1">
      <alignment horizontal="center" vertical="center" wrapText="1"/>
    </xf>
    <xf numFmtId="0" fontId="6" fillId="0" borderId="61" xfId="0" applyFont="1" applyBorder="1" applyAlignment="1">
      <alignment vertical="center" wrapText="1"/>
    </xf>
    <xf numFmtId="0" fontId="1" fillId="0" borderId="0" xfId="0" applyFont="1" applyBorder="1"/>
    <xf numFmtId="0" fontId="9" fillId="0" borderId="61" xfId="0" applyFont="1" applyBorder="1" applyAlignment="1">
      <alignment horizontal="left" vertical="center" wrapText="1"/>
    </xf>
    <xf numFmtId="164" fontId="4" fillId="0" borderId="59" xfId="0" applyNumberFormat="1" applyFont="1" applyBorder="1" applyAlignment="1">
      <alignment horizontal="center" vertical="center" wrapText="1"/>
    </xf>
    <xf numFmtId="0" fontId="25" fillId="3" borderId="0" xfId="0" applyFont="1" applyFill="1" applyBorder="1"/>
    <xf numFmtId="0" fontId="25" fillId="0" borderId="0" xfId="0" applyFont="1" applyBorder="1"/>
    <xf numFmtId="0" fontId="0" fillId="3" borderId="0" xfId="0" applyFill="1" applyBorder="1"/>
    <xf numFmtId="0" fontId="17" fillId="3" borderId="41" xfId="0" applyFont="1" applyFill="1" applyBorder="1"/>
    <xf numFmtId="0" fontId="17" fillId="0" borderId="41" xfId="0" applyFont="1" applyBorder="1"/>
    <xf numFmtId="0" fontId="17" fillId="3" borderId="0" xfId="0" applyFont="1" applyFill="1" applyBorder="1"/>
    <xf numFmtId="0" fontId="17" fillId="0" borderId="0" xfId="0" applyFont="1" applyBorder="1"/>
    <xf numFmtId="0" fontId="0" fillId="2" borderId="9" xfId="0" applyFill="1" applyBorder="1" applyAlignment="1"/>
    <xf numFmtId="0" fontId="1" fillId="2" borderId="10" xfId="0" applyFont="1" applyFill="1" applyBorder="1" applyAlignment="1"/>
    <xf numFmtId="0" fontId="1" fillId="0" borderId="10" xfId="0" applyFont="1" applyFill="1" applyBorder="1" applyAlignment="1"/>
    <xf numFmtId="0" fontId="0" fillId="0" borderId="10" xfId="0" applyFill="1" applyBorder="1" applyAlignment="1"/>
    <xf numFmtId="0" fontId="0" fillId="2" borderId="10" xfId="0" applyFill="1" applyBorder="1" applyAlignment="1"/>
    <xf numFmtId="0" fontId="0" fillId="0" borderId="10" xfId="0" applyBorder="1" applyAlignment="1"/>
    <xf numFmtId="0" fontId="0" fillId="2" borderId="0" xfId="0" applyFill="1" applyAlignment="1"/>
    <xf numFmtId="0" fontId="0" fillId="0" borderId="0" xfId="0" applyFill="1" applyBorder="1" applyAlignment="1"/>
    <xf numFmtId="0" fontId="0" fillId="2" borderId="0" xfId="0" applyFill="1" applyBorder="1" applyAlignment="1"/>
    <xf numFmtId="0" fontId="0" fillId="0" borderId="60" xfId="0" applyFill="1" applyBorder="1"/>
    <xf numFmtId="0" fontId="0" fillId="0" borderId="11" xfId="0" applyFill="1" applyBorder="1" applyAlignment="1"/>
    <xf numFmtId="4" fontId="15" fillId="0" borderId="28" xfId="0" applyNumberFormat="1" applyFont="1" applyBorder="1" applyAlignment="1">
      <alignment horizontal="center" vertical="center" wrapText="1"/>
    </xf>
    <xf numFmtId="3" fontId="13" fillId="0" borderId="25" xfId="0" applyNumberFormat="1" applyFont="1" applyBorder="1" applyAlignment="1">
      <alignment horizontal="center" vertical="center" wrapText="1"/>
    </xf>
    <xf numFmtId="3" fontId="23" fillId="3" borderId="57" xfId="0" applyNumberFormat="1" applyFont="1" applyFill="1" applyBorder="1" applyAlignment="1">
      <alignment horizontal="center" vertical="center" wrapText="1"/>
    </xf>
    <xf numFmtId="3" fontId="23" fillId="3" borderId="26" xfId="0" applyNumberFormat="1" applyFont="1" applyFill="1" applyBorder="1" applyAlignment="1">
      <alignment horizontal="center" vertical="center" wrapText="1"/>
    </xf>
    <xf numFmtId="3" fontId="23" fillId="3" borderId="6" xfId="0" applyNumberFormat="1" applyFont="1" applyFill="1" applyBorder="1" applyAlignment="1">
      <alignment horizontal="center" vertical="center" wrapText="1"/>
    </xf>
    <xf numFmtId="3" fontId="23" fillId="0" borderId="6" xfId="0" applyNumberFormat="1" applyFont="1" applyFill="1" applyBorder="1" applyAlignment="1">
      <alignment horizontal="center" vertical="center" wrapText="1"/>
    </xf>
    <xf numFmtId="4" fontId="15" fillId="0" borderId="45" xfId="0" applyNumberFormat="1" applyFont="1" applyFill="1" applyBorder="1" applyAlignment="1">
      <alignment horizontal="center" vertical="center" wrapText="1"/>
    </xf>
    <xf numFmtId="3" fontId="13" fillId="0" borderId="33" xfId="0" applyNumberFormat="1" applyFont="1" applyBorder="1" applyAlignment="1">
      <alignment horizontal="center" vertical="center" wrapText="1"/>
    </xf>
    <xf numFmtId="3" fontId="23" fillId="0" borderId="34" xfId="0" applyNumberFormat="1" applyFont="1" applyFill="1" applyBorder="1" applyAlignment="1">
      <alignment horizontal="center" vertical="center" wrapText="1"/>
    </xf>
    <xf numFmtId="4" fontId="13" fillId="2" borderId="39" xfId="0" applyNumberFormat="1" applyFont="1" applyFill="1" applyBorder="1" applyAlignment="1">
      <alignment horizontal="center" vertical="center" wrapText="1"/>
    </xf>
    <xf numFmtId="3" fontId="21" fillId="0" borderId="26" xfId="0" applyNumberFormat="1" applyFont="1" applyFill="1" applyBorder="1" applyAlignment="1">
      <alignment horizontal="center" vertical="center" wrapText="1"/>
    </xf>
    <xf numFmtId="3" fontId="21" fillId="0" borderId="6" xfId="0" applyNumberFormat="1" applyFont="1" applyBorder="1" applyAlignment="1">
      <alignment horizontal="center" vertical="center" wrapText="1"/>
    </xf>
    <xf numFmtId="3" fontId="21" fillId="0" borderId="6" xfId="0" applyNumberFormat="1" applyFont="1" applyFill="1" applyBorder="1" applyAlignment="1">
      <alignment horizontal="center" vertical="center" wrapText="1"/>
    </xf>
    <xf numFmtId="3" fontId="29" fillId="0" borderId="37" xfId="0" applyNumberFormat="1" applyFont="1" applyFill="1" applyBorder="1" applyAlignment="1">
      <alignment horizontal="center" vertical="center" wrapText="1"/>
    </xf>
    <xf numFmtId="3" fontId="21" fillId="0" borderId="34" xfId="0" applyNumberFormat="1" applyFont="1" applyFill="1" applyBorder="1" applyAlignment="1">
      <alignment horizontal="center" vertical="center" wrapText="1"/>
    </xf>
    <xf numFmtId="3" fontId="21" fillId="0" borderId="26" xfId="0" applyNumberFormat="1" applyFont="1" applyBorder="1" applyAlignment="1">
      <alignment horizontal="center" vertical="center" wrapText="1"/>
    </xf>
    <xf numFmtId="3" fontId="21" fillId="0" borderId="32" xfId="0" applyNumberFormat="1" applyFont="1" applyBorder="1" applyAlignment="1">
      <alignment horizontal="center" vertical="center" wrapText="1"/>
    </xf>
    <xf numFmtId="3" fontId="29" fillId="0" borderId="37" xfId="0" applyNumberFormat="1" applyFont="1" applyBorder="1" applyAlignment="1">
      <alignment horizontal="center" vertical="center" wrapText="1"/>
    </xf>
    <xf numFmtId="3" fontId="21" fillId="0" borderId="34" xfId="0" applyNumberFormat="1" applyFont="1" applyBorder="1" applyAlignment="1">
      <alignment horizontal="center" vertical="center" wrapText="1"/>
    </xf>
    <xf numFmtId="0" fontId="17" fillId="0" borderId="1" xfId="0" applyFont="1" applyBorder="1" applyAlignment="1">
      <alignment horizontal="left" vertical="top" wrapText="1"/>
    </xf>
    <xf numFmtId="0" fontId="0" fillId="0" borderId="41" xfId="0" applyBorder="1"/>
    <xf numFmtId="0" fontId="0" fillId="0" borderId="60" xfId="0" applyBorder="1"/>
    <xf numFmtId="0" fontId="0" fillId="0" borderId="9" xfId="0" applyBorder="1"/>
    <xf numFmtId="0" fontId="1" fillId="0" borderId="10" xfId="0" applyFont="1" applyBorder="1"/>
    <xf numFmtId="0" fontId="0" fillId="0" borderId="10" xfId="0" applyBorder="1"/>
    <xf numFmtId="0" fontId="0" fillId="0" borderId="11" xfId="0" applyBorder="1"/>
    <xf numFmtId="0" fontId="10" fillId="2" borderId="59" xfId="0" applyFont="1" applyFill="1" applyBorder="1" applyAlignment="1">
      <alignment horizontal="center" vertical="center" wrapText="1"/>
    </xf>
    <xf numFmtId="0" fontId="0" fillId="0" borderId="61" xfId="0" applyBorder="1"/>
    <xf numFmtId="0" fontId="0" fillId="0" borderId="66" xfId="0" applyBorder="1"/>
    <xf numFmtId="0" fontId="26" fillId="0" borderId="40"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60" xfId="0" applyFont="1" applyBorder="1" applyAlignment="1">
      <alignment horizontal="center" vertical="center" wrapText="1"/>
    </xf>
    <xf numFmtId="0" fontId="28" fillId="0" borderId="0" xfId="0" applyFont="1" applyAlignment="1">
      <alignment wrapText="1"/>
    </xf>
    <xf numFmtId="0" fontId="0" fillId="0" borderId="0" xfId="0"/>
    <xf numFmtId="0" fontId="11" fillId="0" borderId="40" xfId="0" applyFont="1" applyBorder="1" applyAlignment="1">
      <alignment horizontal="left" vertical="center" wrapText="1"/>
    </xf>
    <xf numFmtId="0" fontId="8" fillId="0" borderId="5" xfId="0" applyFont="1" applyBorder="1" applyAlignment="1">
      <alignment horizontal="left" wrapText="1"/>
    </xf>
    <xf numFmtId="0" fontId="0" fillId="0" borderId="65" xfId="0" applyBorder="1"/>
    <xf numFmtId="0" fontId="0" fillId="0" borderId="30" xfId="0" applyBorder="1"/>
    <xf numFmtId="0" fontId="11" fillId="0" borderId="9" xfId="0" applyFont="1" applyBorder="1" applyAlignment="1">
      <alignment horizontal="left" vertical="top" wrapText="1" readingOrder="1"/>
    </xf>
    <xf numFmtId="4" fontId="13" fillId="0" borderId="1" xfId="0" applyNumberFormat="1" applyFont="1" applyBorder="1" applyAlignment="1">
      <alignment horizontal="center" vertical="center" wrapText="1"/>
    </xf>
    <xf numFmtId="0" fontId="0" fillId="0" borderId="42" xfId="0" applyBorder="1"/>
    <xf numFmtId="0" fontId="10" fillId="0" borderId="39" xfId="0" applyFont="1" applyBorder="1" applyAlignment="1">
      <alignment horizontal="center" vertical="center" wrapText="1"/>
    </xf>
    <xf numFmtId="0" fontId="27" fillId="0" borderId="0" xfId="0" applyFont="1" applyFill="1" applyBorder="1" applyAlignment="1">
      <alignment horizontal="center"/>
    </xf>
    <xf numFmtId="0" fontId="10" fillId="0" borderId="47" xfId="0" applyFont="1" applyBorder="1" applyAlignment="1">
      <alignment horizontal="center" vertical="center" wrapText="1"/>
    </xf>
    <xf numFmtId="0" fontId="0" fillId="0" borderId="46" xfId="0" applyBorder="1"/>
    <xf numFmtId="0" fontId="2" fillId="0" borderId="1" xfId="0" applyFont="1" applyBorder="1" applyAlignment="1">
      <alignment horizontal="center"/>
    </xf>
    <xf numFmtId="0" fontId="10" fillId="2" borderId="39" xfId="0" applyFont="1" applyFill="1" applyBorder="1" applyAlignment="1">
      <alignment horizontal="center" vertical="center" wrapText="1"/>
    </xf>
    <xf numFmtId="3" fontId="13" fillId="0" borderId="59" xfId="0" applyNumberFormat="1" applyFont="1" applyBorder="1" applyAlignment="1">
      <alignment horizontal="center" vertical="center" wrapText="1"/>
    </xf>
    <xf numFmtId="0" fontId="0" fillId="0" borderId="62" xfId="0" applyBorder="1"/>
    <xf numFmtId="0" fontId="8" fillId="0" borderId="59" xfId="0" applyFont="1" applyBorder="1" applyAlignment="1">
      <alignment horizontal="left" vertical="top" wrapText="1"/>
    </xf>
    <xf numFmtId="0" fontId="8" fillId="2" borderId="44" xfId="0" applyFont="1" applyFill="1" applyBorder="1" applyAlignment="1">
      <alignment horizontal="center" vertical="center" wrapText="1"/>
    </xf>
    <xf numFmtId="0" fontId="1" fillId="0" borderId="0" xfId="0" applyFont="1"/>
    <xf numFmtId="0" fontId="0" fillId="0" borderId="64" xfId="0" applyBorder="1"/>
    <xf numFmtId="0" fontId="8" fillId="0" borderId="59" xfId="0" applyFont="1" applyBorder="1" applyAlignment="1">
      <alignment horizontal="left" vertical="center" wrapText="1"/>
    </xf>
    <xf numFmtId="0" fontId="1" fillId="0" borderId="61" xfId="0" applyFont="1" applyBorder="1"/>
    <xf numFmtId="4" fontId="24" fillId="0" borderId="8" xfId="0" applyNumberFormat="1" applyFont="1" applyBorder="1" applyAlignment="1">
      <alignment horizontal="center" vertical="center" wrapText="1"/>
    </xf>
    <xf numFmtId="0" fontId="0" fillId="0" borderId="4" xfId="0" applyBorder="1"/>
    <xf numFmtId="0" fontId="3" fillId="0" borderId="19" xfId="0" applyFont="1" applyBorder="1" applyAlignment="1">
      <alignment horizontal="left" vertical="center" wrapText="1"/>
    </xf>
    <xf numFmtId="0" fontId="0" fillId="0" borderId="63" xfId="0" applyBorder="1"/>
    <xf numFmtId="0" fontId="1" fillId="0" borderId="59" xfId="0" applyFont="1" applyBorder="1" applyAlignment="1">
      <alignment horizontal="center"/>
    </xf>
    <xf numFmtId="0" fontId="10" fillId="0" borderId="55" xfId="0" applyFont="1" applyBorder="1" applyAlignment="1">
      <alignment horizontal="left" vertical="center"/>
    </xf>
    <xf numFmtId="0" fontId="12" fillId="0" borderId="5" xfId="0" applyFont="1" applyBorder="1" applyAlignment="1">
      <alignment horizontal="center" vertical="center"/>
    </xf>
    <xf numFmtId="4" fontId="13" fillId="0" borderId="42" xfId="0" applyNumberFormat="1" applyFont="1" applyBorder="1" applyAlignment="1">
      <alignment horizontal="center" vertical="center" wrapText="1"/>
    </xf>
    <xf numFmtId="4" fontId="13" fillId="2" borderId="8" xfId="0" applyNumberFormat="1" applyFont="1" applyFill="1" applyBorder="1" applyAlignment="1">
      <alignment horizontal="center" vertical="center" wrapText="1"/>
    </xf>
    <xf numFmtId="4" fontId="13" fillId="2" borderId="39" xfId="0" applyNumberFormat="1" applyFont="1" applyFill="1" applyBorder="1" applyAlignment="1">
      <alignment horizontal="center" vertical="center" wrapText="1"/>
    </xf>
    <xf numFmtId="0" fontId="22" fillId="3" borderId="8" xfId="0" applyFont="1" applyFill="1" applyBorder="1" applyAlignment="1">
      <alignment horizontal="center" vertical="center" wrapText="1"/>
    </xf>
    <xf numFmtId="0" fontId="0" fillId="0" borderId="0" xfId="0" applyBorder="1"/>
    <xf numFmtId="0" fontId="17" fillId="0" borderId="0" xfId="0" applyFont="1" applyAlignment="1">
      <alignment horizontal="left" vertical="top" wrapText="1"/>
    </xf>
    <xf numFmtId="4" fontId="13" fillId="0" borderId="13" xfId="0" applyNumberFormat="1" applyFont="1" applyBorder="1" applyAlignment="1">
      <alignment horizontal="center" vertical="center" wrapText="1"/>
    </xf>
    <xf numFmtId="0" fontId="14" fillId="0" borderId="0" xfId="0" applyFont="1" applyAlignment="1">
      <alignment horizontal="center" vertical="center"/>
    </xf>
    <xf numFmtId="4" fontId="14" fillId="0" borderId="50" xfId="0" applyNumberFormat="1" applyFont="1" applyBorder="1" applyAlignment="1">
      <alignment horizontal="center" vertical="center" wrapText="1"/>
    </xf>
    <xf numFmtId="0" fontId="0" fillId="0" borderId="67" xfId="0" applyBorder="1"/>
    <xf numFmtId="0" fontId="0" fillId="0" borderId="68" xfId="0" applyBorder="1"/>
    <xf numFmtId="4" fontId="13" fillId="2" borderId="13" xfId="0" applyNumberFormat="1" applyFont="1" applyFill="1" applyBorder="1" applyAlignment="1">
      <alignment horizontal="center" vertical="center" wrapText="1"/>
    </xf>
    <xf numFmtId="0" fontId="3" fillId="0" borderId="14" xfId="0" applyFont="1" applyBorder="1" applyAlignment="1">
      <alignment horizontal="left" vertical="center" wrapText="1"/>
    </xf>
    <xf numFmtId="0" fontId="10" fillId="0" borderId="43" xfId="0" applyFont="1" applyBorder="1" applyAlignment="1">
      <alignment horizontal="left" vertical="center"/>
    </xf>
    <xf numFmtId="0" fontId="10" fillId="0" borderId="44" xfId="0" applyFont="1" applyBorder="1" applyAlignment="1">
      <alignment horizontal="center" vertical="center" wrapText="1"/>
    </xf>
    <xf numFmtId="4" fontId="24" fillId="0" borderId="59" xfId="0" applyNumberFormat="1" applyFont="1" applyBorder="1" applyAlignment="1">
      <alignment horizontal="center" vertical="center" wrapText="1"/>
    </xf>
    <xf numFmtId="0" fontId="8" fillId="0" borderId="59" xfId="0" applyFont="1" applyBorder="1" applyAlignment="1">
      <alignment horizontal="left" vertical="center"/>
    </xf>
    <xf numFmtId="0" fontId="10" fillId="0" borderId="8" xfId="0" applyFont="1" applyBorder="1" applyAlignment="1">
      <alignment horizontal="center" vertical="center" wrapText="1"/>
    </xf>
    <xf numFmtId="0" fontId="14" fillId="0" borderId="0" xfId="0" applyFont="1" applyAlignment="1">
      <alignment horizontal="left" vertical="top" wrapText="1"/>
    </xf>
    <xf numFmtId="0" fontId="27" fillId="0" borderId="0" xfId="0" applyFont="1" applyFill="1" applyBorder="1" applyAlignment="1">
      <alignment horizontal="center" vertical="center"/>
    </xf>
    <xf numFmtId="0" fontId="11" fillId="0" borderId="7" xfId="0" applyFont="1" applyBorder="1" applyAlignment="1">
      <alignment horizontal="left" vertical="top" wrapText="1" readingOrder="1"/>
    </xf>
    <xf numFmtId="0" fontId="1" fillId="0" borderId="0" xfId="0" applyFont="1" applyBorder="1"/>
    <xf numFmtId="0" fontId="8" fillId="2" borderId="12" xfId="0" applyFont="1" applyFill="1" applyBorder="1" applyAlignment="1">
      <alignment horizontal="center" vertical="center" wrapText="1"/>
    </xf>
    <xf numFmtId="0" fontId="8" fillId="0" borderId="14" xfId="0" applyFont="1" applyBorder="1" applyAlignment="1">
      <alignment horizontal="left" vertical="center" wrapText="1"/>
    </xf>
    <xf numFmtId="0" fontId="10" fillId="0" borderId="40" xfId="0" applyFont="1" applyBorder="1" applyAlignment="1">
      <alignment horizontal="left" vertical="center"/>
    </xf>
    <xf numFmtId="0" fontId="10" fillId="0" borderId="55" xfId="0" applyFont="1" applyBorder="1" applyAlignment="1">
      <alignment horizontal="center" vertical="center" wrapText="1"/>
    </xf>
    <xf numFmtId="3" fontId="16" fillId="0" borderId="39" xfId="0" applyNumberFormat="1" applyFont="1" applyBorder="1" applyAlignment="1">
      <alignment horizontal="center"/>
    </xf>
    <xf numFmtId="0" fontId="0" fillId="0" borderId="0" xfId="0" applyFill="1" applyBorder="1"/>
    <xf numFmtId="0" fontId="2" fillId="0" borderId="41" xfId="0" applyFont="1" applyBorder="1" applyAlignment="1">
      <alignment horizontal="center" vertical="center" wrapText="1"/>
    </xf>
    <xf numFmtId="0" fontId="2" fillId="0" borderId="59" xfId="0" applyFont="1" applyBorder="1" applyAlignment="1">
      <alignment horizontal="center"/>
    </xf>
    <xf numFmtId="0" fontId="3" fillId="0" borderId="59" xfId="0" applyFont="1" applyBorder="1" applyAlignment="1">
      <alignment horizontal="left" vertical="center" wrapText="1"/>
    </xf>
    <xf numFmtId="0" fontId="26" fillId="4" borderId="59" xfId="0" applyFont="1" applyFill="1" applyBorder="1" applyAlignment="1">
      <alignment horizontal="center" vertical="center" wrapText="1"/>
    </xf>
    <xf numFmtId="0" fontId="0" fillId="4" borderId="61" xfId="0" applyFill="1" applyBorder="1"/>
    <xf numFmtId="0" fontId="0" fillId="4" borderId="66" xfId="0" applyFill="1" applyBorder="1"/>
  </cellXfs>
  <cellStyles count="2">
    <cellStyle name="Normal" xfId="0" builtinId="0"/>
    <cellStyle name="Normal 2" xfId="1"/>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7B7B7"/>
      <rgbColor rgb="FF808080"/>
      <rgbColor rgb="FF9999FF"/>
      <rgbColor rgb="FF953735"/>
      <rgbColor rgb="FFFFFFCC"/>
      <rgbColor rgb="FFD9EAF7"/>
      <rgbColor rgb="FF660066"/>
      <rgbColor rgb="FFFF8080"/>
      <rgbColor rgb="FF0066CC"/>
      <rgbColor rgb="FFCCCCFF"/>
      <rgbColor rgb="FF000080"/>
      <rgbColor rgb="FFFF00FF"/>
      <rgbColor rgb="FFFFFF00"/>
      <rgbColor rgb="FF00FFFF"/>
      <rgbColor rgb="FF800080"/>
      <rgbColor rgb="FF800000"/>
      <rgbColor rgb="FF008080"/>
      <rgbColor rgb="FF0000FF"/>
      <rgbColor rgb="FF00B0F0"/>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00B050"/>
      <rgbColor rgb="FF003300"/>
      <rgbColor rgb="FF333300"/>
      <rgbColor rgb="FF993300"/>
      <rgbColor rgb="FF7030A0"/>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13</xdr:col>
      <xdr:colOff>136243</xdr:colOff>
      <xdr:row>0</xdr:row>
      <xdr:rowOff>161762</xdr:rowOff>
    </xdr:from>
    <xdr:to>
      <xdr:col>14</xdr:col>
      <xdr:colOff>432387</xdr:colOff>
      <xdr:row>0</xdr:row>
      <xdr:rowOff>915602</xdr:rowOff>
    </xdr:to>
    <xdr:pic>
      <xdr:nvPicPr>
        <xdr:cNvPr id="2" name="Imagen 8"/>
        <xdr:cNvPicPr/>
      </xdr:nvPicPr>
      <xdr:blipFill>
        <a:blip xmlns:r="http://schemas.openxmlformats.org/officeDocument/2006/relationships" r:embed="rId1"/>
        <a:stretch>
          <a:fillRect/>
        </a:stretch>
      </xdr:blipFill>
      <xdr:spPr>
        <a:xfrm>
          <a:off x="8772243" y="161762"/>
          <a:ext cx="708894" cy="753840"/>
        </a:xfrm>
        <a:prstGeom prst="rect">
          <a:avLst/>
        </a:prstGeom>
        <a:solidFill>
          <a:srgbClr val="FFFFFF"/>
        </a:solidFill>
        <a:ln w="0">
          <a:noFill/>
          <a:prstDash val="solid"/>
        </a:ln>
      </xdr:spPr>
    </xdr:pic>
    <xdr:clientData/>
  </xdr:twoCellAnchor>
  <xdr:twoCellAnchor>
    <xdr:from>
      <xdr:col>3</xdr:col>
      <xdr:colOff>1322</xdr:colOff>
      <xdr:row>47</xdr:row>
      <xdr:rowOff>63206</xdr:rowOff>
    </xdr:from>
    <xdr:to>
      <xdr:col>7</xdr:col>
      <xdr:colOff>304800</xdr:colOff>
      <xdr:row>49</xdr:row>
      <xdr:rowOff>19971</xdr:rowOff>
    </xdr:to>
    <xdr:sp macro="" textlink="" fLocksText="0">
      <xdr:nvSpPr>
        <xdr:cNvPr id="3" name="7 Rectángulo">
          <a:extLst>
            <a:ext uri="{FF2B5EF4-FFF2-40B4-BE49-F238E27FC236}">
              <a16:creationId xmlns:a16="http://schemas.microsoft.com/office/drawing/2014/main" id="{00000000-0008-0000-0000-00000C000000}"/>
            </a:ext>
          </a:extLst>
        </xdr:cNvPr>
        <xdr:cNvSpPr>
          <a:spLocks noChangeArrowheads="1"/>
        </xdr:cNvSpPr>
      </xdr:nvSpPr>
      <xdr:spPr bwMode="auto">
        <a:xfrm>
          <a:off x="2630222" y="23075606"/>
          <a:ext cx="2694253" cy="375865"/>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algn="l" rtl="0">
            <a:defRPr sz="1000"/>
          </a:pPr>
          <a:r>
            <a:rPr lang="es-ES" sz="1050" b="0" i="0" u="none" strike="noStrike" baseline="0">
              <a:solidFill>
                <a:srgbClr val="000000"/>
              </a:solidFill>
              <a:latin typeface="Trebuchet MS"/>
            </a:rPr>
            <a:t> </a:t>
          </a:r>
          <a:r>
            <a:rPr lang="es-ES" sz="1000" b="0" i="0" u="none" strike="noStrike" baseline="0">
              <a:solidFill>
                <a:srgbClr val="000000"/>
              </a:solidFill>
              <a:latin typeface="Arial" panose="020B0604020202020204" pitchFamily="34" charset="0"/>
              <a:cs typeface="Arial" panose="020B0604020202020204" pitchFamily="34" charset="0"/>
            </a:rPr>
            <a:t>Revisado por: </a:t>
          </a:r>
          <a:endParaRPr lang="es-ES" sz="105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kumimoji="0" lang="es-ES" sz="1050" b="0" i="0" u="none" strike="noStrike" kern="0" cap="none" spc="0" normalizeH="0" baseline="0">
              <a:ln>
                <a:noFill/>
              </a:ln>
              <a:solidFill>
                <a:srgbClr val="000000"/>
              </a:solidFill>
              <a:effectLst/>
              <a:uLnTx/>
              <a:uFillTx/>
              <a:latin typeface="Trebuchet MS"/>
              <a:ea typeface="+mn-ea"/>
              <a:cs typeface="+mn-cs"/>
            </a:rPr>
            <a:t>                    </a:t>
          </a:r>
          <a:r>
            <a:rPr kumimoji="0" lang="es-ES" sz="1000" b="0" i="0" u="none" strike="noStrike" kern="0" cap="none" spc="0" normalizeH="0" baseline="0">
              <a:ln>
                <a:noFill/>
              </a:ln>
              <a:solidFill>
                <a:sysClr val="windowText" lastClr="000000"/>
              </a:solidFill>
              <a:effectLst/>
              <a:uLnTx/>
              <a:uFillTx/>
              <a:latin typeface="Arial" panose="020B0604020202020204" pitchFamily="34" charset="0"/>
              <a:ea typeface="+mn-ea"/>
              <a:cs typeface="Arial" panose="020B0604020202020204" pitchFamily="34" charset="0"/>
            </a:rPr>
            <a:t>Edgar Bernardo Silva Gómez</a:t>
          </a:r>
          <a:endParaRPr kumimoji="0" lang="es-ES" sz="1000" b="0" i="0" u="none" strike="noStrike" kern="0" cap="none" spc="0" normalizeH="0" baseline="0">
            <a:ln>
              <a:noFill/>
            </a:ln>
            <a:solidFill>
              <a:srgbClr val="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3</xdr:col>
      <xdr:colOff>1321</xdr:colOff>
      <xdr:row>49</xdr:row>
      <xdr:rowOff>18749</xdr:rowOff>
    </xdr:from>
    <xdr:to>
      <xdr:col>7</xdr:col>
      <xdr:colOff>304800</xdr:colOff>
      <xdr:row>51</xdr:row>
      <xdr:rowOff>127065</xdr:rowOff>
    </xdr:to>
    <xdr:sp macro="" textlink="" fLocksText="0">
      <xdr:nvSpPr>
        <xdr:cNvPr id="4" name="8 Rectángulo">
          <a:extLst>
            <a:ext uri="{FF2B5EF4-FFF2-40B4-BE49-F238E27FC236}">
              <a16:creationId xmlns:a16="http://schemas.microsoft.com/office/drawing/2014/main" id="{00000000-0008-0000-0000-00000D000000}"/>
            </a:ext>
          </a:extLst>
        </xdr:cNvPr>
        <xdr:cNvSpPr>
          <a:spLocks noChangeArrowheads="1"/>
        </xdr:cNvSpPr>
      </xdr:nvSpPr>
      <xdr:spPr bwMode="auto">
        <a:xfrm>
          <a:off x="2630221" y="23450249"/>
          <a:ext cx="2694254" cy="460741"/>
        </a:xfrm>
        <a:prstGeom prst="rect">
          <a:avLst/>
        </a:prstGeom>
        <a:solidFill>
          <a:sysClr val="window" lastClr="FFFFFF"/>
        </a:solidFill>
        <a:ln w="38100" cap="sq">
          <a:solidFill>
            <a:srgbClr val="000000"/>
          </a:solidFill>
          <a:miter lim="800000"/>
          <a:headEnd/>
          <a:tailEnd/>
        </a:ln>
        <a:effectLst/>
      </xdr:spPr>
      <xdr:txBody>
        <a:bodyPr vertOverflow="clip" wrap="square" lIns="20160" tIns="20160" rIns="20160" bIns="20160" anchor="ctr"/>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ES" sz="1000" b="0" i="0" baseline="0">
              <a:effectLst/>
              <a:latin typeface="Arial" panose="020B0604020202020204" pitchFamily="34" charset="0"/>
              <a:ea typeface="+mn-ea"/>
              <a:cs typeface="Arial" panose="020B0604020202020204" pitchFamily="34" charset="0"/>
            </a:rPr>
            <a:t>Subdirector(a</a:t>
          </a:r>
          <a:r>
            <a:rPr lang="es-ES" sz="1100" b="0" i="0" baseline="0">
              <a:effectLst/>
              <a:latin typeface="Trebuchet MS" panose="020B0603020202020204" pitchFamily="34" charset="0"/>
              <a:ea typeface="+mn-ea"/>
              <a:cs typeface="+mn-cs"/>
            </a:rPr>
            <a:t>) </a:t>
          </a:r>
          <a:r>
            <a:rPr lang="es-ES" sz="1100" b="0" i="0" baseline="0">
              <a:effectLst/>
              <a:latin typeface="Arial" panose="020B0604020202020204" pitchFamily="34" charset="0"/>
              <a:ea typeface="+mn-ea"/>
              <a:cs typeface="Arial" panose="020B0604020202020204" pitchFamily="34" charset="0"/>
            </a:rPr>
            <a:t>Financiero(a</a:t>
          </a:r>
          <a:r>
            <a:rPr lang="es-ES" sz="1000" b="0" i="0" baseline="0">
              <a:effectLst/>
              <a:latin typeface="Arial" panose="020B0604020202020204" pitchFamily="34" charset="0"/>
              <a:ea typeface="+mn-ea"/>
              <a:cs typeface="Arial" panose="020B0604020202020204" pitchFamily="34" charset="0"/>
            </a:rPr>
            <a:t>)</a:t>
          </a:r>
          <a:endParaRPr lang="es-CO" sz="1100">
            <a:effectLst/>
            <a:latin typeface="Arial" panose="020B0604020202020204" pitchFamily="34" charset="0"/>
            <a:cs typeface="Arial" panose="020B0604020202020204" pitchFamily="34" charset="0"/>
          </a:endParaRPr>
        </a:p>
        <a:p>
          <a:pPr algn="l" rtl="0">
            <a:defRPr sz="1000"/>
          </a:pPr>
          <a:r>
            <a:rPr lang="es-ES" sz="300" b="0" i="0" u="none" strike="noStrike" baseline="0">
              <a:solidFill>
                <a:srgbClr val="FFFFFF"/>
              </a:solidFill>
              <a:latin typeface="Calibri"/>
              <a:cs typeface="Calibri"/>
            </a:rPr>
            <a:t>: </a:t>
          </a:r>
          <a:endParaRPr lang="es-ES" sz="300" b="0" i="0" u="none" strike="noStrike" baseline="0">
            <a:solidFill>
              <a:sysClr val="windowText" lastClr="000000"/>
            </a:solidFill>
            <a:latin typeface="Calibri"/>
            <a:cs typeface="Calibri"/>
          </a:endParaRPr>
        </a:p>
      </xdr:txBody>
    </xdr:sp>
    <xdr:clientData/>
  </xdr:twoCellAnchor>
  <xdr:twoCellAnchor>
    <xdr:from>
      <xdr:col>7</xdr:col>
      <xdr:colOff>561265</xdr:colOff>
      <xdr:row>47</xdr:row>
      <xdr:rowOff>74412</xdr:rowOff>
    </xdr:from>
    <xdr:to>
      <xdr:col>12</xdr:col>
      <xdr:colOff>235323</xdr:colOff>
      <xdr:row>49</xdr:row>
      <xdr:rowOff>28575</xdr:rowOff>
    </xdr:to>
    <xdr:sp macro="" textlink="" fLocksText="0">
      <xdr:nvSpPr>
        <xdr:cNvPr id="5" name="9 Rectángulo">
          <a:extLst>
            <a:ext uri="{FF2B5EF4-FFF2-40B4-BE49-F238E27FC236}">
              <a16:creationId xmlns:a16="http://schemas.microsoft.com/office/drawing/2014/main" id="{00000000-0008-0000-0000-00000E000000}"/>
            </a:ext>
          </a:extLst>
        </xdr:cNvPr>
        <xdr:cNvSpPr>
          <a:spLocks noChangeArrowheads="1"/>
        </xdr:cNvSpPr>
      </xdr:nvSpPr>
      <xdr:spPr bwMode="auto">
        <a:xfrm>
          <a:off x="5580940" y="23086812"/>
          <a:ext cx="2655383" cy="373263"/>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s-ES" sz="1000" b="0" i="0" u="none" strike="noStrike" baseline="0">
              <a:solidFill>
                <a:srgbClr val="000000"/>
              </a:solidFill>
              <a:latin typeface="Arial" panose="020B0604020202020204" pitchFamily="34" charset="0"/>
              <a:ea typeface="+mn-ea"/>
              <a:cs typeface="Arial" panose="020B0604020202020204" pitchFamily="34" charset="0"/>
            </a:rPr>
            <a:t> </a:t>
          </a:r>
          <a:r>
            <a:rPr lang="es-ES" sz="1000" b="0" i="0" u="none" strike="noStrike" baseline="0" noProof="0">
              <a:solidFill>
                <a:srgbClr val="000000"/>
              </a:solidFill>
              <a:latin typeface="Arial" panose="020B0604020202020204" pitchFamily="34" charset="0"/>
              <a:ea typeface="+mn-ea"/>
              <a:cs typeface="Arial" panose="020B0604020202020204" pitchFamily="34" charset="0"/>
            </a:rPr>
            <a:t>Evaluado por:       </a:t>
          </a:r>
        </a:p>
        <a:p>
          <a:r>
            <a:rPr lang="es-ES" sz="1100" b="0" i="0" baseline="0">
              <a:effectLst/>
              <a:latin typeface="+mn-lt"/>
              <a:ea typeface="+mn-ea"/>
              <a:cs typeface="+mn-cs"/>
            </a:rPr>
            <a:t>                            </a:t>
          </a:r>
          <a:r>
            <a:rPr lang="es-ES" sz="1000" b="0" i="0" baseline="0">
              <a:effectLst/>
              <a:latin typeface="Arial" panose="020B0604020202020204" pitchFamily="34" charset="0"/>
              <a:ea typeface="+mn-ea"/>
              <a:cs typeface="Arial" panose="020B0604020202020204" pitchFamily="34" charset="0"/>
            </a:rPr>
            <a:t>Jorge Tulio Cubillos Alzate</a:t>
          </a:r>
          <a:endParaRPr lang="es-CO" sz="1050">
            <a:effectLst/>
            <a:latin typeface="Arial" panose="020B0604020202020204" pitchFamily="34" charset="0"/>
            <a:cs typeface="Arial" panose="020B0604020202020204" pitchFamily="34" charset="0"/>
          </a:endParaRPr>
        </a:p>
      </xdr:txBody>
    </xdr:sp>
    <xdr:clientData/>
  </xdr:twoCellAnchor>
  <xdr:twoCellAnchor>
    <xdr:from>
      <xdr:col>7</xdr:col>
      <xdr:colOff>561976</xdr:colOff>
      <xdr:row>49</xdr:row>
      <xdr:rowOff>10091</xdr:rowOff>
    </xdr:from>
    <xdr:to>
      <xdr:col>12</xdr:col>
      <xdr:colOff>235324</xdr:colOff>
      <xdr:row>51</xdr:row>
      <xdr:rowOff>118407</xdr:rowOff>
    </xdr:to>
    <xdr:sp macro="" textlink="" fLocksText="0">
      <xdr:nvSpPr>
        <xdr:cNvPr id="6" name="10 Rectángulo">
          <a:extLst>
            <a:ext uri="{FF2B5EF4-FFF2-40B4-BE49-F238E27FC236}">
              <a16:creationId xmlns:a16="http://schemas.microsoft.com/office/drawing/2014/main" id="{00000000-0008-0000-0000-00000F000000}"/>
            </a:ext>
          </a:extLst>
        </xdr:cNvPr>
        <xdr:cNvSpPr>
          <a:spLocks noChangeArrowheads="1"/>
        </xdr:cNvSpPr>
      </xdr:nvSpPr>
      <xdr:spPr bwMode="auto">
        <a:xfrm>
          <a:off x="5581651" y="23441591"/>
          <a:ext cx="2654673" cy="460741"/>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ES" sz="1000" b="0" i="0" baseline="0">
              <a:effectLst/>
              <a:latin typeface="Arial" panose="020B0604020202020204" pitchFamily="34" charset="0"/>
              <a:ea typeface="+mn-ea"/>
              <a:cs typeface="Arial" panose="020B0604020202020204" pitchFamily="34" charset="0"/>
            </a:rPr>
            <a:t>Profesional Subdirección Financiera</a:t>
          </a:r>
        </a:p>
      </xdr:txBody>
    </xdr:sp>
    <xdr:clientData/>
  </xdr:twoCellAnchor>
  <xdr:twoCellAnchor>
    <xdr:from>
      <xdr:col>3</xdr:col>
      <xdr:colOff>1322</xdr:colOff>
      <xdr:row>51</xdr:row>
      <xdr:rowOff>105527</xdr:rowOff>
    </xdr:from>
    <xdr:to>
      <xdr:col>7</xdr:col>
      <xdr:colOff>304800</xdr:colOff>
      <xdr:row>54</xdr:row>
      <xdr:rowOff>48743</xdr:rowOff>
    </xdr:to>
    <xdr:sp macro="" textlink="" fLocksText="0">
      <xdr:nvSpPr>
        <xdr:cNvPr id="7" name="8 Rectángulo">
          <a:extLst>
            <a:ext uri="{FF2B5EF4-FFF2-40B4-BE49-F238E27FC236}">
              <a16:creationId xmlns:a16="http://schemas.microsoft.com/office/drawing/2014/main" id="{00000000-0008-0000-0000-000010000000}"/>
            </a:ext>
          </a:extLst>
        </xdr:cNvPr>
        <xdr:cNvSpPr>
          <a:spLocks noChangeArrowheads="1"/>
        </xdr:cNvSpPr>
      </xdr:nvSpPr>
      <xdr:spPr bwMode="auto">
        <a:xfrm>
          <a:off x="2630222" y="23889452"/>
          <a:ext cx="2694253" cy="428991"/>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indent="0" algn="l" rtl="0">
            <a:defRPr sz="1000"/>
          </a:pPr>
          <a:r>
            <a:rPr lang="es-ES" sz="1000" b="0" i="0" u="none" strike="noStrike" baseline="0">
              <a:solidFill>
                <a:srgbClr val="000000"/>
              </a:solidFill>
              <a:latin typeface="Arial" panose="020B0604020202020204" pitchFamily="34" charset="0"/>
              <a:ea typeface="+mn-ea"/>
              <a:cs typeface="Arial" panose="020B0604020202020204" pitchFamily="34" charset="0"/>
            </a:rPr>
            <a:t>Fecha:</a:t>
          </a:r>
        </a:p>
      </xdr:txBody>
    </xdr:sp>
    <xdr:clientData/>
  </xdr:twoCellAnchor>
  <xdr:twoCellAnchor>
    <xdr:from>
      <xdr:col>7</xdr:col>
      <xdr:colOff>561975</xdr:colOff>
      <xdr:row>51</xdr:row>
      <xdr:rowOff>122896</xdr:rowOff>
    </xdr:from>
    <xdr:to>
      <xdr:col>12</xdr:col>
      <xdr:colOff>235323</xdr:colOff>
      <xdr:row>54</xdr:row>
      <xdr:rowOff>66112</xdr:rowOff>
    </xdr:to>
    <xdr:sp macro="" textlink="" fLocksText="0">
      <xdr:nvSpPr>
        <xdr:cNvPr id="8" name="10 Rectángulo">
          <a:extLst>
            <a:ext uri="{FF2B5EF4-FFF2-40B4-BE49-F238E27FC236}">
              <a16:creationId xmlns:a16="http://schemas.microsoft.com/office/drawing/2014/main" id="{00000000-0008-0000-0000-000011000000}"/>
            </a:ext>
          </a:extLst>
        </xdr:cNvPr>
        <xdr:cNvSpPr>
          <a:spLocks noChangeArrowheads="1"/>
        </xdr:cNvSpPr>
      </xdr:nvSpPr>
      <xdr:spPr bwMode="auto">
        <a:xfrm>
          <a:off x="5581650" y="23906821"/>
          <a:ext cx="2654673" cy="428991"/>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marL="0" indent="0" algn="l" rtl="0">
            <a:defRPr sz="1000"/>
          </a:pPr>
          <a:r>
            <a:rPr lang="es-ES" sz="1000" b="0" i="0" u="none" strike="noStrike" baseline="0">
              <a:solidFill>
                <a:srgbClr val="000000"/>
              </a:solidFill>
              <a:latin typeface="Arial" panose="020B0604020202020204" pitchFamily="34" charset="0"/>
              <a:ea typeface="+mn-ea"/>
              <a:cs typeface="Arial" panose="020B0604020202020204" pitchFamily="34" charset="0"/>
            </a:rPr>
            <a:t>Fecha</a:t>
          </a:r>
          <a:r>
            <a:rPr lang="es-ES" sz="1100" b="0" i="0" u="none" strike="noStrike" baseline="0">
              <a:solidFill>
                <a:srgbClr val="000000"/>
              </a:solidFill>
              <a:latin typeface="Trebuchet MS"/>
              <a:ea typeface="+mn-ea"/>
              <a:cs typeface="+mn-cs"/>
            </a:rPr>
            <a:t>:</a:t>
          </a:r>
        </a:p>
        <a:p>
          <a:pPr marL="0" indent="0" algn="l" rtl="0">
            <a:defRPr sz="1000"/>
          </a:pPr>
          <a:endParaRPr lang="es-ES" sz="1100" b="0" i="0" u="none" strike="noStrike" baseline="0">
            <a:solidFill>
              <a:srgbClr val="000000"/>
            </a:solidFill>
            <a:latin typeface="Trebuchet MS"/>
            <a:ea typeface="+mn-ea"/>
            <a:cs typeface="+mn-cs"/>
          </a:endParaRPr>
        </a:p>
      </xdr:txBody>
    </xdr:sp>
    <xdr:clientData/>
  </xdr:twoCellAnchor>
  <xdr:twoCellAnchor>
    <xdr:from>
      <xdr:col>13</xdr:col>
      <xdr:colOff>1679</xdr:colOff>
      <xdr:row>47</xdr:row>
      <xdr:rowOff>74824</xdr:rowOff>
    </xdr:from>
    <xdr:to>
      <xdr:col>17</xdr:col>
      <xdr:colOff>19050</xdr:colOff>
      <xdr:row>49</xdr:row>
      <xdr:rowOff>32107</xdr:rowOff>
    </xdr:to>
    <xdr:sp macro="" textlink="" fLocksText="0">
      <xdr:nvSpPr>
        <xdr:cNvPr id="9" name="9 Rectángulo">
          <a:extLst>
            <a:ext uri="{FF2B5EF4-FFF2-40B4-BE49-F238E27FC236}">
              <a16:creationId xmlns:a16="http://schemas.microsoft.com/office/drawing/2014/main" id="{00000000-0008-0000-0000-000012000000}"/>
            </a:ext>
          </a:extLst>
        </xdr:cNvPr>
        <xdr:cNvSpPr>
          <a:spLocks noChangeArrowheads="1"/>
        </xdr:cNvSpPr>
      </xdr:nvSpPr>
      <xdr:spPr bwMode="auto">
        <a:xfrm>
          <a:off x="8612279" y="23087224"/>
          <a:ext cx="2350996" cy="376383"/>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t"/>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s-ES" sz="1050" b="0" i="0" u="none" strike="noStrike" baseline="0">
              <a:solidFill>
                <a:srgbClr val="000000"/>
              </a:solidFill>
              <a:latin typeface="Trebuchet MS"/>
            </a:rPr>
            <a:t> </a:t>
          </a:r>
          <a:r>
            <a:rPr kumimoji="0" lang="es-ES" sz="1000" b="0" i="0" u="none" strike="noStrike" kern="0" cap="none" spc="0" normalizeH="0" baseline="0" noProof="0">
              <a:ln>
                <a:noFill/>
              </a:ln>
              <a:solidFill>
                <a:srgbClr val="000000"/>
              </a:solidFill>
              <a:effectLst/>
              <a:uLnTx/>
              <a:uFillTx/>
              <a:latin typeface="Arial" panose="020B0604020202020204" pitchFamily="34" charset="0"/>
              <a:ea typeface="+mn-ea"/>
              <a:cs typeface="Arial" panose="020B0604020202020204" pitchFamily="34" charset="0"/>
            </a:rPr>
            <a:t>Elaborado por: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ES" sz="1050" b="0" i="0" u="none" strike="noStrike" kern="0" cap="none" spc="0" normalizeH="0" baseline="0" noProof="0">
              <a:ln>
                <a:noFill/>
              </a:ln>
              <a:solidFill>
                <a:srgbClr val="000000"/>
              </a:solidFill>
              <a:effectLst/>
              <a:uLnTx/>
              <a:uFillTx/>
              <a:latin typeface="Trebuchet MS"/>
              <a:ea typeface="+mn-ea"/>
              <a:cs typeface="+mn-cs"/>
            </a:rPr>
            <a:t>                        </a:t>
          </a:r>
          <a:r>
            <a:rPr kumimoji="0" lang="es-ES" sz="900" b="0" i="0" u="none" strike="noStrike" kern="0" cap="none" spc="0" normalizeH="0" baseline="0" noProof="0">
              <a:ln>
                <a:noFill/>
              </a:ln>
              <a:solidFill>
                <a:srgbClr val="000000"/>
              </a:solidFill>
              <a:effectLst/>
              <a:uLnTx/>
              <a:uFillTx/>
              <a:latin typeface="Arial" panose="020B0604020202020204" pitchFamily="34" charset="0"/>
              <a:ea typeface="+mn-ea"/>
              <a:cs typeface="Arial" panose="020B0604020202020204" pitchFamily="34" charset="0"/>
            </a:rPr>
            <a:t>Lenyn Yanira Triana Abril</a:t>
          </a:r>
          <a:endParaRPr kumimoji="0" lang="es-ES" sz="1050" b="0" i="0" u="none" strike="noStrike" kern="0" cap="none" spc="0" normalizeH="0" baseline="0" noProof="0">
            <a:ln>
              <a:noFill/>
            </a:ln>
            <a:solidFill>
              <a:srgbClr val="000000"/>
            </a:solidFill>
            <a:effectLst/>
            <a:uLnTx/>
            <a:uFillTx/>
            <a:latin typeface="Arial" panose="020B0604020202020204" pitchFamily="34" charset="0"/>
            <a:ea typeface="+mn-ea"/>
            <a:cs typeface="Arial" panose="020B0604020202020204" pitchFamily="34" charset="0"/>
          </a:endParaRPr>
        </a:p>
      </xdr:txBody>
    </xdr:sp>
    <xdr:clientData/>
  </xdr:twoCellAnchor>
  <xdr:twoCellAnchor>
    <xdr:from>
      <xdr:col>13</xdr:col>
      <xdr:colOff>1682</xdr:colOff>
      <xdr:row>49</xdr:row>
      <xdr:rowOff>39006</xdr:rowOff>
    </xdr:from>
    <xdr:to>
      <xdr:col>17</xdr:col>
      <xdr:colOff>19050</xdr:colOff>
      <xdr:row>51</xdr:row>
      <xdr:rowOff>96824</xdr:rowOff>
    </xdr:to>
    <xdr:sp macro="" textlink="" fLocksText="0">
      <xdr:nvSpPr>
        <xdr:cNvPr id="10" name="9 Rectángulo">
          <a:extLst>
            <a:ext uri="{FF2B5EF4-FFF2-40B4-BE49-F238E27FC236}">
              <a16:creationId xmlns:a16="http://schemas.microsoft.com/office/drawing/2014/main" id="{00000000-0008-0000-0000-000013000000}"/>
            </a:ext>
          </a:extLst>
        </xdr:cNvPr>
        <xdr:cNvSpPr>
          <a:spLocks noChangeArrowheads="1"/>
        </xdr:cNvSpPr>
      </xdr:nvSpPr>
      <xdr:spPr bwMode="auto">
        <a:xfrm>
          <a:off x="8612282" y="23470506"/>
          <a:ext cx="2350993" cy="410243"/>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ctr"/>
        <a:lstStyle/>
        <a:p>
          <a:pPr algn="l" rtl="0"/>
          <a:r>
            <a:rPr lang="es-ES" sz="1050" b="0" i="0" u="none" strike="noStrike" baseline="0">
              <a:solidFill>
                <a:srgbClr val="000000"/>
              </a:solidFill>
              <a:latin typeface="Trebuchet MS"/>
            </a:rPr>
            <a:t> </a:t>
          </a:r>
          <a:r>
            <a:rPr lang="es-ES" sz="1000" b="0" i="0" baseline="0">
              <a:effectLst/>
              <a:latin typeface="Arial" panose="020B0604020202020204" pitchFamily="34" charset="0"/>
              <a:ea typeface="+mn-ea"/>
              <a:cs typeface="Arial" panose="020B0604020202020204" pitchFamily="34" charset="0"/>
            </a:rPr>
            <a:t>Responsable de la elaboración</a:t>
          </a:r>
          <a:endParaRPr lang="es-CO" sz="1050">
            <a:effectLst/>
            <a:latin typeface="Arial" panose="020B0604020202020204" pitchFamily="34" charset="0"/>
            <a:cs typeface="Arial" panose="020B0604020202020204" pitchFamily="34" charset="0"/>
          </a:endParaRPr>
        </a:p>
      </xdr:txBody>
    </xdr:sp>
    <xdr:clientData/>
  </xdr:twoCellAnchor>
  <xdr:twoCellAnchor>
    <xdr:from>
      <xdr:col>13</xdr:col>
      <xdr:colOff>1679</xdr:colOff>
      <xdr:row>51</xdr:row>
      <xdr:rowOff>72174</xdr:rowOff>
    </xdr:from>
    <xdr:to>
      <xdr:col>17</xdr:col>
      <xdr:colOff>19050</xdr:colOff>
      <xdr:row>54</xdr:row>
      <xdr:rowOff>29705</xdr:rowOff>
    </xdr:to>
    <xdr:sp macro="" textlink="" fLocksText="0">
      <xdr:nvSpPr>
        <xdr:cNvPr id="11" name="10 Rectángulo">
          <a:extLst>
            <a:ext uri="{FF2B5EF4-FFF2-40B4-BE49-F238E27FC236}">
              <a16:creationId xmlns:a16="http://schemas.microsoft.com/office/drawing/2014/main" id="{00000000-0008-0000-0000-000014000000}"/>
            </a:ext>
          </a:extLst>
        </xdr:cNvPr>
        <xdr:cNvSpPr>
          <a:spLocks noChangeArrowheads="1"/>
        </xdr:cNvSpPr>
      </xdr:nvSpPr>
      <xdr:spPr bwMode="auto">
        <a:xfrm>
          <a:off x="8612279" y="23856099"/>
          <a:ext cx="2350996" cy="443306"/>
        </a:xfrm>
        <a:prstGeom prst="rect">
          <a:avLst/>
        </a:prstGeom>
        <a:solidFill>
          <a:srgbClr val="FFFFFF"/>
        </a:solidFill>
        <a:ln w="3810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0160" tIns="20160" rIns="20160" bIns="20160" anchor="b"/>
        <a:lstStyle/>
        <a:p>
          <a:pPr algn="l" rtl="0">
            <a:defRPr sz="1000"/>
          </a:pPr>
          <a:r>
            <a:rPr lang="es-ES" sz="1000" b="0" i="0" u="none" strike="noStrike" baseline="0">
              <a:solidFill>
                <a:srgbClr val="000000"/>
              </a:solidFill>
              <a:latin typeface="Arial" panose="020B0604020202020204" pitchFamily="34" charset="0"/>
              <a:cs typeface="Arial" panose="020B0604020202020204" pitchFamily="34" charset="0"/>
            </a:rPr>
            <a:t>Fecha:</a:t>
          </a:r>
        </a:p>
        <a:p>
          <a:pPr algn="ctr" rtl="0">
            <a:defRPr sz="1000"/>
          </a:pPr>
          <a:endParaRPr lang="es-ES" sz="1100" b="0" i="0" u="none" strike="noStrike" baseline="0">
            <a:solidFill>
              <a:srgbClr val="000000"/>
            </a:solidFill>
            <a:latin typeface="Trebuchet M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60991</xdr:colOff>
      <xdr:row>0</xdr:row>
      <xdr:rowOff>200249</xdr:rowOff>
    </xdr:from>
    <xdr:to>
      <xdr:col>14</xdr:col>
      <xdr:colOff>131107</xdr:colOff>
      <xdr:row>0</xdr:row>
      <xdr:rowOff>973169</xdr:rowOff>
    </xdr:to>
    <xdr:pic>
      <xdr:nvPicPr>
        <xdr:cNvPr id="2" name="Imagen 8"/>
        <xdr:cNvPicPr/>
      </xdr:nvPicPr>
      <xdr:blipFill>
        <a:blip xmlns:r="http://schemas.openxmlformats.org/officeDocument/2006/relationships" r:embed="rId1"/>
        <a:stretch>
          <a:fillRect/>
        </a:stretch>
      </xdr:blipFill>
      <xdr:spPr>
        <a:xfrm>
          <a:off x="9187270" y="200249"/>
          <a:ext cx="701424" cy="772920"/>
        </a:xfrm>
        <a:prstGeom prst="rect">
          <a:avLst/>
        </a:prstGeom>
        <a:solidFill>
          <a:srgbClr val="FFFFFF"/>
        </a:solidFill>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107021</xdr:colOff>
      <xdr:row>0</xdr:row>
      <xdr:rowOff>138209</xdr:rowOff>
    </xdr:from>
    <xdr:to>
      <xdr:col>13</xdr:col>
      <xdr:colOff>314120</xdr:colOff>
      <xdr:row>0</xdr:row>
      <xdr:rowOff>964409</xdr:rowOff>
    </xdr:to>
    <xdr:pic>
      <xdr:nvPicPr>
        <xdr:cNvPr id="2" name="Imagen 8"/>
        <xdr:cNvPicPr/>
      </xdr:nvPicPr>
      <xdr:blipFill>
        <a:blip xmlns:r="http://schemas.openxmlformats.org/officeDocument/2006/relationships" r:embed="rId1"/>
        <a:stretch>
          <a:fillRect/>
        </a:stretch>
      </xdr:blipFill>
      <xdr:spPr>
        <a:xfrm>
          <a:off x="8529690" y="138209"/>
          <a:ext cx="742211" cy="826200"/>
        </a:xfrm>
        <a:prstGeom prst="rect">
          <a:avLst/>
        </a:prstGeom>
        <a:solidFill>
          <a:srgbClr val="FFFFFF"/>
        </a:solidFill>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280383</xdr:colOff>
      <xdr:row>0</xdr:row>
      <xdr:rowOff>68688</xdr:rowOff>
    </xdr:from>
    <xdr:to>
      <xdr:col>10</xdr:col>
      <xdr:colOff>52640</xdr:colOff>
      <xdr:row>0</xdr:row>
      <xdr:rowOff>894888</xdr:rowOff>
    </xdr:to>
    <xdr:pic>
      <xdr:nvPicPr>
        <xdr:cNvPr id="3" name="Imagen 8"/>
        <xdr:cNvPicPr/>
      </xdr:nvPicPr>
      <xdr:blipFill>
        <a:blip xmlns:r="http://schemas.openxmlformats.org/officeDocument/2006/relationships" r:embed="rId1"/>
        <a:stretch>
          <a:fillRect/>
        </a:stretch>
      </xdr:blipFill>
      <xdr:spPr>
        <a:xfrm>
          <a:off x="6344633" y="68688"/>
          <a:ext cx="735340" cy="826200"/>
        </a:xfrm>
        <a:prstGeom prst="rect">
          <a:avLst/>
        </a:prstGeom>
        <a:solidFill>
          <a:srgbClr val="FFFFFF"/>
        </a:solidFill>
        <a:ln w="0">
          <a:noFill/>
          <a:prstDash val="solid"/>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U62"/>
  <sheetViews>
    <sheetView showGridLines="0" tabSelected="1" zoomScale="90" zoomScaleNormal="90" workbookViewId="0">
      <selection activeCell="Q12" sqref="Q12"/>
    </sheetView>
  </sheetViews>
  <sheetFormatPr baseColWidth="10" defaultColWidth="10.7109375" defaultRowHeight="12.75" customHeight="1" x14ac:dyDescent="0.2"/>
  <cols>
    <col min="1" max="1" width="4.5703125" style="147" customWidth="1"/>
    <col min="2" max="2" width="25" style="147" customWidth="1"/>
    <col min="3" max="3" width="9.85546875" style="147" customWidth="1"/>
    <col min="4" max="4" width="10" style="147" customWidth="1"/>
    <col min="5" max="5" width="8.85546875" style="147" customWidth="1"/>
    <col min="6" max="6" width="6.42578125" style="147" customWidth="1"/>
    <col min="7" max="7" width="10.5703125" style="147" customWidth="1"/>
    <col min="8" max="8" width="8.42578125" style="147" customWidth="1"/>
    <col min="9" max="9" width="9.28515625" style="147" customWidth="1"/>
    <col min="10" max="10" width="7.42578125" style="147" customWidth="1"/>
    <col min="11" max="11" width="10.85546875" style="147" customWidth="1"/>
    <col min="12" max="12" width="8.7109375" style="147" customWidth="1"/>
    <col min="13" max="13" width="9.140625" style="147" customWidth="1"/>
    <col min="14" max="14" width="6.140625" style="147" customWidth="1"/>
    <col min="15" max="15" width="10.85546875" style="147" customWidth="1"/>
    <col min="16" max="23" width="9" style="147" customWidth="1"/>
    <col min="24" max="24" width="11.5703125" style="144" customWidth="1"/>
    <col min="25" max="25" width="6.5703125" style="144" customWidth="1"/>
    <col min="26" max="26" width="10.28515625" style="144" customWidth="1"/>
    <col min="27" max="27" width="9" style="144" customWidth="1"/>
    <col min="28" max="28" width="10.28515625" style="144" customWidth="1"/>
    <col min="29" max="29" width="5.28515625" style="144" customWidth="1"/>
    <col min="30" max="30" width="1.28515625" style="144" customWidth="1"/>
    <col min="31" max="31" width="12.5703125" style="144" customWidth="1"/>
    <col min="34" max="34" width="13.7109375" style="144" customWidth="1"/>
    <col min="36" max="36" width="1.5703125" style="144" customWidth="1"/>
    <col min="37" max="37" width="10.28515625" style="144" customWidth="1"/>
    <col min="38" max="38" width="8" style="144" customWidth="1"/>
    <col min="39" max="39" width="8.85546875" style="144" customWidth="1"/>
    <col min="40" max="40" width="8.28515625" style="144" customWidth="1"/>
    <col min="41" max="41" width="9.140625" style="144" customWidth="1"/>
    <col min="42" max="43" width="10.42578125" style="144" customWidth="1"/>
    <col min="44" max="44" width="9.85546875" style="144" customWidth="1"/>
    <col min="45" max="45" width="10.42578125" style="144" customWidth="1"/>
    <col min="46" max="46" width="8.42578125" style="144" customWidth="1"/>
    <col min="47" max="47" width="9" style="144" customWidth="1"/>
  </cols>
  <sheetData>
    <row r="1" spans="1:47" ht="79.5" customHeight="1" x14ac:dyDescent="0.2">
      <c r="A1" s="385" t="s">
        <v>1</v>
      </c>
      <c r="B1" s="360"/>
      <c r="C1" s="360"/>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1"/>
    </row>
    <row r="2" spans="1:47" ht="5.25" customHeight="1" thickBot="1" x14ac:dyDescent="0.25">
      <c r="A2" s="362"/>
      <c r="B2" s="363"/>
      <c r="C2" s="363"/>
      <c r="D2" s="363"/>
      <c r="E2" s="363"/>
      <c r="F2" s="363"/>
      <c r="G2" s="363"/>
      <c r="H2" s="363"/>
      <c r="I2" s="363"/>
      <c r="J2" s="363"/>
      <c r="K2" s="363"/>
      <c r="L2" s="363"/>
      <c r="M2" s="363"/>
      <c r="N2" s="363"/>
      <c r="O2" s="363"/>
      <c r="P2" s="363"/>
      <c r="Q2" s="363"/>
      <c r="R2" s="363"/>
      <c r="S2" s="363"/>
      <c r="T2" s="363"/>
      <c r="U2" s="363"/>
      <c r="V2" s="363"/>
      <c r="W2" s="363"/>
      <c r="X2" s="364"/>
      <c r="Y2" s="364"/>
      <c r="Z2" s="364"/>
      <c r="AA2" s="364"/>
      <c r="AB2" s="364"/>
      <c r="AC2" s="365"/>
    </row>
    <row r="3" spans="1:47" ht="18" customHeight="1" thickBot="1" x14ac:dyDescent="0.25">
      <c r="A3" s="397" t="s">
        <v>2</v>
      </c>
      <c r="B3" s="398"/>
      <c r="C3" s="149">
        <v>46254</v>
      </c>
      <c r="D3" s="296"/>
      <c r="E3" s="296"/>
      <c r="F3" s="296"/>
      <c r="G3" s="296"/>
      <c r="H3" s="296"/>
      <c r="I3" s="296"/>
      <c r="J3" s="296"/>
      <c r="K3" s="296"/>
      <c r="L3" s="296"/>
      <c r="M3" s="296"/>
      <c r="N3" s="296"/>
      <c r="O3" s="296"/>
      <c r="P3" s="296"/>
      <c r="Q3" s="296"/>
      <c r="R3" s="296"/>
      <c r="S3" s="296"/>
      <c r="T3" s="296"/>
      <c r="U3" s="296"/>
      <c r="V3" s="296"/>
      <c r="W3" s="296"/>
      <c r="X3" s="296"/>
      <c r="Y3" s="296"/>
      <c r="Z3" s="296"/>
      <c r="AA3" s="296"/>
      <c r="AB3" s="296"/>
      <c r="AC3" s="297"/>
    </row>
    <row r="4" spans="1:47" ht="29.25" customHeight="1" thickBot="1" x14ac:dyDescent="0.25">
      <c r="A4" s="110" t="s">
        <v>3</v>
      </c>
      <c r="B4" s="390" t="s">
        <v>4</v>
      </c>
      <c r="C4" s="391"/>
      <c r="D4" s="392"/>
      <c r="E4" s="393" t="s">
        <v>5</v>
      </c>
      <c r="F4" s="394"/>
      <c r="G4" s="394"/>
      <c r="H4" s="394"/>
      <c r="I4" s="394"/>
      <c r="J4" s="394"/>
      <c r="K4" s="394"/>
      <c r="L4" s="394"/>
      <c r="M4" s="394"/>
      <c r="N4" s="394"/>
      <c r="O4" s="394"/>
      <c r="P4" s="394"/>
      <c r="Q4" s="394"/>
      <c r="R4" s="394"/>
      <c r="S4" s="394"/>
      <c r="T4" s="394"/>
      <c r="U4" s="394"/>
      <c r="V4" s="394"/>
      <c r="W4" s="394"/>
      <c r="X4" s="367"/>
      <c r="Y4" s="367"/>
      <c r="Z4" s="367"/>
      <c r="AA4" s="367"/>
      <c r="AB4" s="367"/>
      <c r="AC4" s="368"/>
    </row>
    <row r="5" spans="1:47" ht="8.25" customHeight="1" thickBot="1" x14ac:dyDescent="0.25">
      <c r="A5" s="399"/>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row>
    <row r="6" spans="1:47" ht="16.5" customHeight="1" thickBot="1" x14ac:dyDescent="0.25">
      <c r="A6" s="400" t="s">
        <v>6</v>
      </c>
      <c r="B6" s="392"/>
      <c r="C6" s="389" t="s">
        <v>7</v>
      </c>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8"/>
    </row>
    <row r="7" spans="1:47" ht="18" customHeight="1" x14ac:dyDescent="0.2">
      <c r="A7" s="374" t="s">
        <v>8</v>
      </c>
      <c r="B7" s="360"/>
      <c r="C7" s="360"/>
      <c r="D7" s="360"/>
      <c r="E7" s="360"/>
      <c r="F7" s="360"/>
      <c r="G7" s="360"/>
      <c r="H7" s="360"/>
      <c r="I7" s="360"/>
      <c r="J7" s="360"/>
      <c r="K7" s="360"/>
      <c r="L7" s="360"/>
      <c r="M7" s="360"/>
      <c r="N7" s="360"/>
      <c r="O7" s="360"/>
      <c r="P7" s="360"/>
      <c r="Q7" s="143"/>
      <c r="R7" s="143"/>
      <c r="S7" s="143"/>
      <c r="T7" s="143"/>
      <c r="U7" s="143"/>
      <c r="V7" s="143"/>
      <c r="W7" s="143"/>
      <c r="X7" s="96"/>
      <c r="Y7" s="181"/>
      <c r="Z7" s="181"/>
      <c r="AA7" s="181"/>
      <c r="AB7" s="181"/>
      <c r="AC7" s="298"/>
    </row>
    <row r="8" spans="1:47" ht="15" customHeight="1" x14ac:dyDescent="0.2">
      <c r="A8" s="2"/>
      <c r="B8" s="299"/>
      <c r="C8" s="299"/>
      <c r="D8" s="299"/>
      <c r="E8" s="299"/>
      <c r="F8" s="299"/>
      <c r="G8" s="299"/>
      <c r="H8" s="299"/>
      <c r="I8" s="299"/>
      <c r="J8" s="299"/>
      <c r="K8" s="299"/>
      <c r="L8" s="299"/>
      <c r="M8" s="299"/>
      <c r="N8" s="299"/>
      <c r="O8" s="299"/>
      <c r="P8" s="299"/>
      <c r="Q8" s="299"/>
      <c r="R8" s="299"/>
      <c r="S8" s="299"/>
      <c r="T8" s="299"/>
      <c r="U8" s="299"/>
      <c r="V8" s="299"/>
      <c r="W8" s="299"/>
      <c r="X8" s="300"/>
      <c r="Y8" s="300"/>
      <c r="Z8" s="300"/>
      <c r="AA8" s="300"/>
      <c r="AB8" s="300"/>
      <c r="AC8" s="184"/>
    </row>
    <row r="9" spans="1:47" ht="15" customHeight="1" x14ac:dyDescent="0.2">
      <c r="A9" s="1"/>
      <c r="B9" s="301"/>
      <c r="C9" s="301"/>
      <c r="D9" s="301"/>
      <c r="E9" s="301"/>
      <c r="F9" s="301"/>
      <c r="G9" s="401" t="s">
        <v>9</v>
      </c>
      <c r="H9" s="376"/>
      <c r="I9" s="376"/>
      <c r="J9" s="377"/>
      <c r="K9" s="3" t="s">
        <v>10</v>
      </c>
      <c r="L9" s="301"/>
      <c r="M9" s="301"/>
      <c r="N9" s="301"/>
      <c r="O9" s="301"/>
      <c r="P9" s="301"/>
      <c r="Q9" s="301"/>
      <c r="R9" s="301"/>
      <c r="S9" s="301"/>
      <c r="T9" s="301"/>
      <c r="U9" s="301"/>
      <c r="V9" s="301"/>
      <c r="W9" s="301"/>
      <c r="X9" s="300"/>
      <c r="Y9" s="300"/>
      <c r="Z9" s="300"/>
      <c r="AA9" s="300"/>
      <c r="AB9" s="300"/>
      <c r="AC9" s="184"/>
    </row>
    <row r="10" spans="1:47" ht="15.75" customHeight="1" x14ac:dyDescent="0.35">
      <c r="A10" s="1"/>
      <c r="B10" s="302"/>
      <c r="C10" s="302"/>
      <c r="D10" s="302"/>
      <c r="E10" s="302"/>
      <c r="F10" s="302"/>
      <c r="G10" s="375" t="s">
        <v>11</v>
      </c>
      <c r="H10" s="376"/>
      <c r="I10" s="376"/>
      <c r="J10" s="377"/>
      <c r="K10" s="4">
        <v>1</v>
      </c>
      <c r="L10" s="302"/>
      <c r="M10" s="302"/>
      <c r="N10" s="302"/>
      <c r="O10" s="302"/>
      <c r="P10" s="302"/>
      <c r="Q10" s="302"/>
      <c r="R10" s="302"/>
      <c r="S10" s="302"/>
      <c r="T10" s="302"/>
      <c r="U10" s="302"/>
      <c r="V10" s="302"/>
      <c r="W10" s="302"/>
      <c r="X10" s="300"/>
      <c r="Y10" s="300"/>
      <c r="Z10" s="300"/>
      <c r="AA10" s="300"/>
      <c r="AB10" s="300"/>
      <c r="AC10" s="184"/>
    </row>
    <row r="11" spans="1:47" ht="15.75" customHeight="1" x14ac:dyDescent="0.35">
      <c r="A11" s="1"/>
      <c r="B11" s="302"/>
      <c r="C11" s="302"/>
      <c r="D11" s="302"/>
      <c r="E11" s="302"/>
      <c r="F11" s="302"/>
      <c r="G11" s="375" t="s">
        <v>12</v>
      </c>
      <c r="H11" s="376"/>
      <c r="I11" s="376"/>
      <c r="J11" s="377"/>
      <c r="K11" s="4">
        <v>22</v>
      </c>
      <c r="L11" s="302"/>
      <c r="M11" s="302"/>
      <c r="N11" s="302"/>
      <c r="O11" s="302"/>
      <c r="P11" s="302"/>
      <c r="Q11" s="302"/>
      <c r="R11" s="302"/>
      <c r="S11" s="302"/>
      <c r="T11" s="302"/>
      <c r="U11" s="302"/>
      <c r="V11" s="302"/>
      <c r="W11" s="302"/>
      <c r="X11" s="300"/>
      <c r="Y11" s="300"/>
      <c r="Z11" s="300"/>
      <c r="AA11" s="300"/>
      <c r="AB11" s="300"/>
      <c r="AC11" s="184"/>
    </row>
    <row r="12" spans="1:47" ht="15.75" customHeight="1" x14ac:dyDescent="0.35">
      <c r="A12" s="1"/>
      <c r="B12" s="302"/>
      <c r="C12" s="302"/>
      <c r="D12" s="302"/>
      <c r="E12" s="302"/>
      <c r="F12" s="302"/>
      <c r="G12" s="375" t="s">
        <v>13</v>
      </c>
      <c r="H12" s="376"/>
      <c r="I12" s="376"/>
      <c r="J12" s="377"/>
      <c r="K12" s="4">
        <v>0</v>
      </c>
      <c r="L12" s="302"/>
      <c r="M12" s="302"/>
      <c r="N12" s="302"/>
      <c r="O12" s="302"/>
      <c r="P12" s="302"/>
      <c r="Q12" s="302"/>
      <c r="R12" s="302"/>
      <c r="S12" s="302"/>
      <c r="T12" s="302"/>
      <c r="U12" s="302"/>
      <c r="V12" s="302"/>
      <c r="W12" s="302"/>
      <c r="X12" s="300"/>
      <c r="Y12" s="300"/>
      <c r="Z12" s="300"/>
      <c r="AA12" s="300"/>
      <c r="AB12" s="300"/>
      <c r="AC12" s="184"/>
    </row>
    <row r="13" spans="1:47" ht="15.75" customHeight="1" x14ac:dyDescent="0.35">
      <c r="A13" s="1"/>
      <c r="B13" s="302"/>
      <c r="C13" s="302"/>
      <c r="D13" s="302"/>
      <c r="E13" s="302"/>
      <c r="F13" s="302"/>
      <c r="G13" s="375" t="s">
        <v>14</v>
      </c>
      <c r="H13" s="376"/>
      <c r="I13" s="376"/>
      <c r="J13" s="377"/>
      <c r="K13" s="4">
        <v>1</v>
      </c>
      <c r="L13" s="302"/>
      <c r="M13" s="302"/>
      <c r="N13" s="302"/>
      <c r="O13" s="302"/>
      <c r="P13" s="302"/>
      <c r="Q13" s="302"/>
      <c r="R13" s="302"/>
      <c r="S13" s="302"/>
      <c r="T13" s="302"/>
      <c r="U13" s="302"/>
      <c r="V13" s="302"/>
      <c r="W13" s="302"/>
      <c r="X13" s="300"/>
      <c r="Y13" s="300"/>
      <c r="Z13" s="300"/>
      <c r="AA13" s="300"/>
      <c r="AB13" s="300"/>
      <c r="AC13" s="184"/>
    </row>
    <row r="14" spans="1:47" ht="15" customHeight="1" x14ac:dyDescent="0.35">
      <c r="A14" s="1"/>
      <c r="B14" s="303"/>
      <c r="C14" s="303"/>
      <c r="D14" s="303"/>
      <c r="E14" s="303"/>
      <c r="F14" s="303"/>
      <c r="G14" s="303"/>
      <c r="H14" s="303"/>
      <c r="I14" s="303"/>
      <c r="J14" s="303"/>
      <c r="K14" s="303"/>
      <c r="L14" s="303"/>
      <c r="M14" s="303"/>
      <c r="N14" s="303"/>
      <c r="O14" s="303"/>
      <c r="P14" s="303"/>
      <c r="Q14" s="303"/>
      <c r="R14" s="303"/>
      <c r="S14" s="303"/>
      <c r="T14" s="303"/>
      <c r="U14" s="303"/>
      <c r="V14" s="303"/>
      <c r="W14" s="303"/>
      <c r="X14" s="300"/>
      <c r="Y14" s="300"/>
      <c r="Z14" s="300"/>
      <c r="AA14" s="300"/>
      <c r="AB14" s="300"/>
      <c r="AC14" s="184"/>
    </row>
    <row r="15" spans="1:47" ht="16.5" customHeight="1" thickBot="1" x14ac:dyDescent="0.25">
      <c r="A15" s="378" t="s">
        <v>15</v>
      </c>
      <c r="B15" s="364"/>
      <c r="C15" s="364"/>
      <c r="D15" s="364"/>
      <c r="E15" s="364"/>
      <c r="F15" s="364"/>
      <c r="G15" s="364"/>
      <c r="H15" s="364"/>
      <c r="I15" s="364"/>
      <c r="J15" s="364"/>
      <c r="K15" s="364"/>
      <c r="L15" s="364"/>
      <c r="M15" s="364"/>
      <c r="N15" s="364"/>
      <c r="O15" s="364"/>
      <c r="P15" s="364"/>
      <c r="Q15" s="364"/>
      <c r="R15" s="364"/>
      <c r="S15" s="364"/>
      <c r="T15" s="364"/>
      <c r="U15" s="364"/>
      <c r="V15" s="364"/>
      <c r="W15" s="364"/>
      <c r="X15" s="364"/>
      <c r="Y15" s="364"/>
      <c r="Z15" s="364"/>
      <c r="AA15" s="364"/>
      <c r="AB15" s="180"/>
      <c r="AC15" s="179"/>
      <c r="AE15" s="382"/>
      <c r="AF15" s="382"/>
      <c r="AG15" s="382"/>
      <c r="AH15" s="382"/>
      <c r="AI15" s="382"/>
      <c r="AJ15" s="382"/>
      <c r="AK15" s="382"/>
      <c r="AL15" s="382"/>
      <c r="AM15" s="382"/>
      <c r="AN15" s="382"/>
      <c r="AO15" s="382"/>
      <c r="AP15" s="382"/>
      <c r="AQ15" s="382"/>
      <c r="AR15" s="382"/>
      <c r="AS15" s="382"/>
      <c r="AT15" s="382"/>
      <c r="AU15" s="382"/>
    </row>
    <row r="16" spans="1:47" ht="8.25" customHeight="1" thickBot="1" x14ac:dyDescent="0.25">
      <c r="A16" s="84"/>
      <c r="B16" s="85"/>
      <c r="C16" s="85"/>
      <c r="D16" s="85"/>
      <c r="E16" s="85"/>
      <c r="F16" s="85"/>
      <c r="G16" s="85"/>
      <c r="H16" s="85"/>
      <c r="I16" s="85"/>
      <c r="J16" s="85"/>
      <c r="K16" s="85"/>
      <c r="L16" s="85"/>
      <c r="M16" s="85"/>
      <c r="N16" s="85"/>
      <c r="O16" s="85"/>
      <c r="P16" s="85"/>
      <c r="Q16" s="85"/>
      <c r="R16" s="85"/>
      <c r="S16" s="85"/>
      <c r="T16" s="85"/>
      <c r="U16" s="85"/>
      <c r="V16" s="85"/>
      <c r="W16" s="85"/>
      <c r="X16" s="70"/>
      <c r="Y16" s="70"/>
      <c r="Z16" s="70"/>
      <c r="AA16" s="70"/>
      <c r="AB16" s="70"/>
      <c r="AC16" s="70"/>
      <c r="AK16" s="372"/>
      <c r="AL16" s="373"/>
      <c r="AM16" s="373"/>
      <c r="AN16" s="373"/>
      <c r="AO16" s="373"/>
      <c r="AP16" s="373"/>
      <c r="AQ16" s="373"/>
      <c r="AR16" s="373"/>
      <c r="AS16" s="373"/>
      <c r="AT16" s="373"/>
      <c r="AU16" s="373"/>
    </row>
    <row r="17" spans="1:47" ht="75.75" customHeight="1" thickBot="1" x14ac:dyDescent="0.25">
      <c r="A17" s="383" t="s">
        <v>16</v>
      </c>
      <c r="B17" s="364"/>
      <c r="C17" s="364"/>
      <c r="D17" s="384"/>
      <c r="E17" s="386" t="s">
        <v>17</v>
      </c>
      <c r="F17" s="364"/>
      <c r="G17" s="364"/>
      <c r="H17" s="365"/>
      <c r="I17" s="381" t="s">
        <v>18</v>
      </c>
      <c r="J17" s="364"/>
      <c r="K17" s="364"/>
      <c r="L17" s="365"/>
      <c r="M17" s="381" t="s">
        <v>19</v>
      </c>
      <c r="N17" s="364"/>
      <c r="O17" s="364"/>
      <c r="P17" s="365"/>
      <c r="Q17" s="405" t="s">
        <v>20</v>
      </c>
      <c r="R17" s="406"/>
      <c r="S17" s="406"/>
      <c r="T17" s="406"/>
      <c r="U17" s="406"/>
      <c r="V17" s="406"/>
      <c r="W17" s="396"/>
      <c r="X17" s="381" t="s">
        <v>21</v>
      </c>
      <c r="Y17" s="364"/>
      <c r="Z17" s="364"/>
      <c r="AA17" s="364"/>
      <c r="AB17" s="364"/>
      <c r="AC17" s="365"/>
      <c r="AE17" s="433" t="s">
        <v>113</v>
      </c>
      <c r="AF17" s="434"/>
      <c r="AG17" s="434"/>
      <c r="AH17" s="434"/>
      <c r="AI17" s="435"/>
      <c r="AK17" s="369" t="s">
        <v>112</v>
      </c>
      <c r="AL17" s="370"/>
      <c r="AM17" s="370"/>
      <c r="AN17" s="370"/>
      <c r="AO17" s="370"/>
      <c r="AP17" s="370"/>
      <c r="AQ17" s="370"/>
      <c r="AR17" s="370"/>
      <c r="AS17" s="370"/>
      <c r="AT17" s="370"/>
      <c r="AU17" s="371"/>
    </row>
    <row r="18" spans="1:47" ht="40.5" customHeight="1" thickBot="1" x14ac:dyDescent="0.25">
      <c r="A18" s="6" t="s">
        <v>22</v>
      </c>
      <c r="B18" s="7" t="s">
        <v>23</v>
      </c>
      <c r="C18" s="7" t="s">
        <v>24</v>
      </c>
      <c r="D18" s="8" t="s">
        <v>114</v>
      </c>
      <c r="E18" s="71" t="s">
        <v>25</v>
      </c>
      <c r="F18" s="141" t="s">
        <v>26</v>
      </c>
      <c r="G18" s="141" t="s">
        <v>27</v>
      </c>
      <c r="H18" s="142" t="s">
        <v>28</v>
      </c>
      <c r="I18" s="52" t="s">
        <v>25</v>
      </c>
      <c r="J18" s="80" t="s">
        <v>26</v>
      </c>
      <c r="K18" s="80" t="s">
        <v>27</v>
      </c>
      <c r="L18" s="140" t="s">
        <v>28</v>
      </c>
      <c r="M18" s="77" t="s">
        <v>25</v>
      </c>
      <c r="N18" s="141" t="s">
        <v>26</v>
      </c>
      <c r="O18" s="141" t="s">
        <v>27</v>
      </c>
      <c r="P18" s="304" t="s">
        <v>28</v>
      </c>
      <c r="Q18" s="71" t="s">
        <v>29</v>
      </c>
      <c r="R18" s="141" t="s">
        <v>30</v>
      </c>
      <c r="S18" s="141" t="s">
        <v>31</v>
      </c>
      <c r="T18" s="141" t="s">
        <v>32</v>
      </c>
      <c r="U18" s="141" t="s">
        <v>26</v>
      </c>
      <c r="V18" s="141" t="s">
        <v>27</v>
      </c>
      <c r="W18" s="142" t="s">
        <v>28</v>
      </c>
      <c r="X18" s="305" t="s">
        <v>33</v>
      </c>
      <c r="Y18" s="80" t="s">
        <v>34</v>
      </c>
      <c r="Z18" s="80" t="s">
        <v>35</v>
      </c>
      <c r="AA18" s="80" t="s">
        <v>28</v>
      </c>
      <c r="AB18" s="80" t="s">
        <v>36</v>
      </c>
      <c r="AC18" s="140" t="s">
        <v>37</v>
      </c>
      <c r="AE18" s="71" t="s">
        <v>33</v>
      </c>
      <c r="AF18" s="141" t="s">
        <v>34</v>
      </c>
      <c r="AG18" s="141" t="s">
        <v>35</v>
      </c>
      <c r="AH18" s="141" t="s">
        <v>28</v>
      </c>
      <c r="AI18" s="142" t="s">
        <v>36</v>
      </c>
      <c r="AK18" s="151" t="s">
        <v>38</v>
      </c>
      <c r="AL18" s="152" t="s">
        <v>39</v>
      </c>
      <c r="AM18" s="152" t="s">
        <v>40</v>
      </c>
      <c r="AN18" s="152" t="s">
        <v>41</v>
      </c>
      <c r="AO18" s="152" t="s">
        <v>42</v>
      </c>
      <c r="AP18" s="152" t="s">
        <v>44</v>
      </c>
      <c r="AQ18" s="152" t="s">
        <v>45</v>
      </c>
      <c r="AR18" s="152" t="s">
        <v>46</v>
      </c>
      <c r="AS18" s="152" t="s">
        <v>47</v>
      </c>
      <c r="AT18" s="152" t="s">
        <v>43</v>
      </c>
      <c r="AU18" s="153" t="s">
        <v>0</v>
      </c>
    </row>
    <row r="19" spans="1:47" ht="36" customHeight="1" x14ac:dyDescent="0.2">
      <c r="A19" s="9">
        <v>1</v>
      </c>
      <c r="B19" s="10" t="s">
        <v>48</v>
      </c>
      <c r="C19" s="11" t="s">
        <v>49</v>
      </c>
      <c r="D19" s="135">
        <v>1</v>
      </c>
      <c r="E19" s="72">
        <v>149800</v>
      </c>
      <c r="F19" s="12">
        <f t="shared" ref="F19:F42" si="0">ROUND(E19*0.19,0)</f>
        <v>28462</v>
      </c>
      <c r="G19" s="12">
        <f t="shared" ref="G19:G42" si="1">ROUND(E19+F19,0)</f>
        <v>178262</v>
      </c>
      <c r="H19" s="13">
        <f t="shared" ref="H19:H42" si="2">ROUND(G19*D19,0)</f>
        <v>178262</v>
      </c>
      <c r="I19" s="74">
        <v>50000</v>
      </c>
      <c r="J19" s="115">
        <f t="shared" ref="J19:J42" si="3">ROUND(I19*0.19,0)</f>
        <v>9500</v>
      </c>
      <c r="K19" s="115">
        <f t="shared" ref="K19:K42" si="4">ROUND(I19+J19,0)</f>
        <v>59500</v>
      </c>
      <c r="L19" s="118">
        <f t="shared" ref="L19:L42" si="5">ROUND(K19*D19,0)</f>
        <v>59500</v>
      </c>
      <c r="M19" s="72">
        <v>75950</v>
      </c>
      <c r="N19" s="12">
        <f t="shared" ref="N19:N42" si="6">ROUND(M19*0.19,0)</f>
        <v>14431</v>
      </c>
      <c r="O19" s="12">
        <f t="shared" ref="O19:O42" si="7">ROUND(M19+N19,0)</f>
        <v>90381</v>
      </c>
      <c r="P19" s="14">
        <f t="shared" ref="P19:P42" si="8">ROUND(O19*D19,0)</f>
        <v>90381</v>
      </c>
      <c r="Q19" s="33">
        <v>29412</v>
      </c>
      <c r="R19" s="34">
        <v>150.99</v>
      </c>
      <c r="S19" s="340">
        <v>160.41999999999999</v>
      </c>
      <c r="T19" s="341">
        <f t="shared" ref="T19:T42" si="9">+(Q19*S19)/R19</f>
        <v>31248.910788793957</v>
      </c>
      <c r="U19" s="342">
        <f t="shared" ref="U19:U42" si="10">ROUND(T19*0.19,0)</f>
        <v>5937</v>
      </c>
      <c r="V19" s="35">
        <f t="shared" ref="V19:V42" si="11">ROUND(T19+U19,0)</f>
        <v>37186</v>
      </c>
      <c r="W19" s="343">
        <f t="shared" ref="W19:W42" si="12">ROUND(V19*D19,0)</f>
        <v>37186</v>
      </c>
      <c r="X19" s="55">
        <f t="shared" ref="X19:X42" si="13">AVERAGE(E19,I19,M19)</f>
        <v>91916.666666666672</v>
      </c>
      <c r="Y19" s="115">
        <f>ROUND(X19*0.19,0)</f>
        <v>17464</v>
      </c>
      <c r="Z19" s="115">
        <f>ROUND(X19+Y19,0)</f>
        <v>109381</v>
      </c>
      <c r="AA19" s="115">
        <f>ROUND(Z19*D19,0)</f>
        <v>109381</v>
      </c>
      <c r="AB19" s="32">
        <f>STDEV(E19,I19,M19)</f>
        <v>51780.409744741628</v>
      </c>
      <c r="AC19" s="27">
        <f>IFERROR(AB19/X19,0)</f>
        <v>0.56334081317941931</v>
      </c>
      <c r="AE19" s="56">
        <f>GEOMEAN(E19,I19,M19)</f>
        <v>82858.397934105684</v>
      </c>
      <c r="AF19" s="12">
        <f t="shared" ref="AF19:AF42" si="14">ROUND(AE19*0.19,0)</f>
        <v>15743</v>
      </c>
      <c r="AG19" s="12">
        <f t="shared" ref="AG19:AG42" si="15">ROUND(AE19+AF19,0)</f>
        <v>98601</v>
      </c>
      <c r="AH19" s="189">
        <f>ROUND(AG19*D19,0)</f>
        <v>98601</v>
      </c>
      <c r="AI19" s="355">
        <f>STDEV(E19,I19,M19)</f>
        <v>51780.409744741628</v>
      </c>
      <c r="AK19" s="170"/>
      <c r="AL19" s="171"/>
      <c r="AM19" s="157"/>
      <c r="AN19" s="171"/>
      <c r="AO19" s="171"/>
      <c r="AP19" s="158"/>
      <c r="AQ19" s="158"/>
      <c r="AR19" s="158"/>
      <c r="AS19" s="158"/>
      <c r="AT19" s="174"/>
      <c r="AU19" s="159"/>
    </row>
    <row r="20" spans="1:47" ht="36" customHeight="1" x14ac:dyDescent="0.2">
      <c r="A20" s="111">
        <v>2</v>
      </c>
      <c r="B20" s="134" t="s">
        <v>50</v>
      </c>
      <c r="C20" s="113" t="s">
        <v>49</v>
      </c>
      <c r="D20" s="135">
        <v>1</v>
      </c>
      <c r="E20" s="53">
        <v>103200</v>
      </c>
      <c r="F20" s="117">
        <f t="shared" si="0"/>
        <v>19608</v>
      </c>
      <c r="G20" s="117">
        <f t="shared" si="1"/>
        <v>122808</v>
      </c>
      <c r="H20" s="136">
        <f t="shared" si="2"/>
        <v>122808</v>
      </c>
      <c r="I20" s="75">
        <v>50000</v>
      </c>
      <c r="J20" s="117">
        <f t="shared" si="3"/>
        <v>9500</v>
      </c>
      <c r="K20" s="117">
        <f t="shared" si="4"/>
        <v>59500</v>
      </c>
      <c r="L20" s="121">
        <f t="shared" si="5"/>
        <v>59500</v>
      </c>
      <c r="M20" s="53">
        <v>69650</v>
      </c>
      <c r="N20" s="117">
        <f t="shared" si="6"/>
        <v>13234</v>
      </c>
      <c r="O20" s="117">
        <f t="shared" si="7"/>
        <v>82884</v>
      </c>
      <c r="P20" s="121">
        <f t="shared" si="8"/>
        <v>82884</v>
      </c>
      <c r="Q20" s="137">
        <v>25210</v>
      </c>
      <c r="R20" s="138">
        <v>150.99</v>
      </c>
      <c r="S20" s="306">
        <v>160.41999999999999</v>
      </c>
      <c r="T20" s="308">
        <f t="shared" si="9"/>
        <v>26784.477117689908</v>
      </c>
      <c r="U20" s="309">
        <f t="shared" si="10"/>
        <v>5089</v>
      </c>
      <c r="V20" s="139">
        <f t="shared" si="11"/>
        <v>31873</v>
      </c>
      <c r="W20" s="344">
        <f t="shared" si="12"/>
        <v>31873</v>
      </c>
      <c r="X20" s="57">
        <f t="shared" si="13"/>
        <v>74283.333333333328</v>
      </c>
      <c r="Y20" s="117">
        <f t="shared" ref="Y20:Y42" si="16">ROUND(X20*0.19,0)</f>
        <v>14114</v>
      </c>
      <c r="Z20" s="117">
        <f t="shared" ref="Z20:Z42" si="17">ROUND(X20+Y20,0)</f>
        <v>88397</v>
      </c>
      <c r="AA20" s="117">
        <f t="shared" ref="AA20:AA42" si="18">ROUND(Z20*D20,0)</f>
        <v>88397</v>
      </c>
      <c r="AB20" s="82">
        <f t="shared" ref="AB20:AB42" si="19">STDEV(E20,I20,M20)</f>
        <v>26900.944840903507</v>
      </c>
      <c r="AC20" s="50">
        <f t="shared" ref="AC20:AC42" si="20">IFERROR(AB20/X20,0)</f>
        <v>0.36213971066955586</v>
      </c>
      <c r="AE20" s="57">
        <f>GEOMEAN(E20,I20,M20)</f>
        <v>71097.927424298483</v>
      </c>
      <c r="AF20" s="117">
        <f t="shared" si="14"/>
        <v>13509</v>
      </c>
      <c r="AG20" s="117">
        <f t="shared" si="15"/>
        <v>84607</v>
      </c>
      <c r="AH20" s="188">
        <f t="shared" ref="AH19:AH42" si="21">ROUND(AG20*D20,0)</f>
        <v>84607</v>
      </c>
      <c r="AI20" s="351">
        <f>STDEV(E20,I20,M20)</f>
        <v>26900.944840903507</v>
      </c>
      <c r="AK20" s="172"/>
      <c r="AL20" s="173"/>
      <c r="AM20" s="160"/>
      <c r="AN20" s="173"/>
      <c r="AO20" s="173"/>
      <c r="AP20" s="161"/>
      <c r="AQ20" s="161"/>
      <c r="AR20" s="161"/>
      <c r="AS20" s="161"/>
      <c r="AT20" s="175"/>
      <c r="AU20" s="162"/>
    </row>
    <row r="21" spans="1:47" ht="36" customHeight="1" x14ac:dyDescent="0.2">
      <c r="A21" s="111">
        <v>3</v>
      </c>
      <c r="B21" s="134" t="s">
        <v>51</v>
      </c>
      <c r="C21" s="113" t="s">
        <v>49</v>
      </c>
      <c r="D21" s="135">
        <v>1</v>
      </c>
      <c r="E21" s="53">
        <v>202700</v>
      </c>
      <c r="F21" s="117">
        <f t="shared" si="0"/>
        <v>38513</v>
      </c>
      <c r="G21" s="117">
        <f t="shared" si="1"/>
        <v>241213</v>
      </c>
      <c r="H21" s="136">
        <f t="shared" si="2"/>
        <v>241213</v>
      </c>
      <c r="I21" s="75">
        <v>150000</v>
      </c>
      <c r="J21" s="117">
        <f t="shared" si="3"/>
        <v>28500</v>
      </c>
      <c r="K21" s="117">
        <f t="shared" si="4"/>
        <v>178500</v>
      </c>
      <c r="L21" s="121">
        <f t="shared" si="5"/>
        <v>178500</v>
      </c>
      <c r="M21" s="53">
        <v>145500</v>
      </c>
      <c r="N21" s="117">
        <f t="shared" si="6"/>
        <v>27645</v>
      </c>
      <c r="O21" s="117">
        <f t="shared" si="7"/>
        <v>173145</v>
      </c>
      <c r="P21" s="121">
        <f t="shared" si="8"/>
        <v>173145</v>
      </c>
      <c r="Q21" s="137">
        <v>67227</v>
      </c>
      <c r="R21" s="138">
        <v>150.99</v>
      </c>
      <c r="S21" s="306">
        <v>160.41999999999999</v>
      </c>
      <c r="T21" s="308">
        <f t="shared" si="9"/>
        <v>71425.626465328824</v>
      </c>
      <c r="U21" s="309">
        <f t="shared" si="10"/>
        <v>13571</v>
      </c>
      <c r="V21" s="139">
        <f t="shared" si="11"/>
        <v>84997</v>
      </c>
      <c r="W21" s="344">
        <f t="shared" si="12"/>
        <v>84997</v>
      </c>
      <c r="X21" s="57">
        <f t="shared" si="13"/>
        <v>166066.66666666666</v>
      </c>
      <c r="Y21" s="117">
        <f t="shared" si="16"/>
        <v>31553</v>
      </c>
      <c r="Z21" s="117">
        <f t="shared" si="17"/>
        <v>197620</v>
      </c>
      <c r="AA21" s="117">
        <f t="shared" si="18"/>
        <v>197620</v>
      </c>
      <c r="AB21" s="82">
        <f t="shared" si="19"/>
        <v>31805.083451129882</v>
      </c>
      <c r="AC21" s="50">
        <f t="shared" si="20"/>
        <v>0.19151997260816872</v>
      </c>
      <c r="AE21" s="57">
        <f>AVERAGE(E21,I21,M21)</f>
        <v>166066.66666666666</v>
      </c>
      <c r="AF21" s="117">
        <f t="shared" si="14"/>
        <v>31553</v>
      </c>
      <c r="AG21" s="117">
        <f t="shared" si="15"/>
        <v>197620</v>
      </c>
      <c r="AH21" s="188">
        <f t="shared" si="21"/>
        <v>197620</v>
      </c>
      <c r="AI21" s="351">
        <f>STDEV(E21,I21,M21)</f>
        <v>31805.083451129882</v>
      </c>
      <c r="AK21" s="172"/>
      <c r="AL21" s="173"/>
      <c r="AM21" s="160"/>
      <c r="AN21" s="173"/>
      <c r="AO21" s="173"/>
      <c r="AP21" s="161"/>
      <c r="AQ21" s="161"/>
      <c r="AR21" s="161"/>
      <c r="AS21" s="161"/>
      <c r="AT21" s="175"/>
      <c r="AU21" s="162"/>
    </row>
    <row r="22" spans="1:47" ht="36" customHeight="1" x14ac:dyDescent="0.2">
      <c r="A22" s="111">
        <v>4</v>
      </c>
      <c r="B22" s="134" t="s">
        <v>52</v>
      </c>
      <c r="C22" s="113" t="s">
        <v>53</v>
      </c>
      <c r="D22" s="135">
        <v>1</v>
      </c>
      <c r="E22" s="53">
        <v>72650</v>
      </c>
      <c r="F22" s="117">
        <f t="shared" si="0"/>
        <v>13804</v>
      </c>
      <c r="G22" s="117">
        <f t="shared" si="1"/>
        <v>86454</v>
      </c>
      <c r="H22" s="136">
        <f t="shared" si="2"/>
        <v>86454</v>
      </c>
      <c r="I22" s="75">
        <v>25000</v>
      </c>
      <c r="J22" s="117">
        <f t="shared" si="3"/>
        <v>4750</v>
      </c>
      <c r="K22" s="117">
        <f t="shared" si="4"/>
        <v>29750</v>
      </c>
      <c r="L22" s="121">
        <f t="shared" si="5"/>
        <v>29750</v>
      </c>
      <c r="M22" s="53">
        <v>73500</v>
      </c>
      <c r="N22" s="117">
        <f t="shared" si="6"/>
        <v>13965</v>
      </c>
      <c r="O22" s="117">
        <f t="shared" si="7"/>
        <v>87465</v>
      </c>
      <c r="P22" s="121">
        <f t="shared" si="8"/>
        <v>87465</v>
      </c>
      <c r="Q22" s="137">
        <v>21008</v>
      </c>
      <c r="R22" s="138">
        <v>150.99</v>
      </c>
      <c r="S22" s="306">
        <v>160.41999999999999</v>
      </c>
      <c r="T22" s="308">
        <f t="shared" si="9"/>
        <v>22320.043446585863</v>
      </c>
      <c r="U22" s="309">
        <f t="shared" si="10"/>
        <v>4241</v>
      </c>
      <c r="V22" s="139">
        <f t="shared" si="11"/>
        <v>26561</v>
      </c>
      <c r="W22" s="344">
        <f t="shared" si="12"/>
        <v>26561</v>
      </c>
      <c r="X22" s="57">
        <f t="shared" si="13"/>
        <v>57050</v>
      </c>
      <c r="Y22" s="117">
        <f t="shared" si="16"/>
        <v>10840</v>
      </c>
      <c r="Z22" s="117">
        <f t="shared" si="17"/>
        <v>67890</v>
      </c>
      <c r="AA22" s="117">
        <f t="shared" si="18"/>
        <v>67890</v>
      </c>
      <c r="AB22" s="82">
        <f t="shared" si="19"/>
        <v>27759.367788189989</v>
      </c>
      <c r="AC22" s="50">
        <f t="shared" si="20"/>
        <v>0.48657962818913214</v>
      </c>
      <c r="AE22" s="57">
        <f>GEOMEAN(E22,I22,M22)</f>
        <v>51107.855175739081</v>
      </c>
      <c r="AF22" s="117">
        <f t="shared" si="14"/>
        <v>9710</v>
      </c>
      <c r="AG22" s="117">
        <f t="shared" si="15"/>
        <v>60818</v>
      </c>
      <c r="AH22" s="188">
        <f t="shared" si="21"/>
        <v>60818</v>
      </c>
      <c r="AI22" s="351">
        <f>STDEV(E22,I22,M22)</f>
        <v>27759.367788189989</v>
      </c>
      <c r="AK22" s="172"/>
      <c r="AL22" s="173"/>
      <c r="AM22" s="160"/>
      <c r="AN22" s="173"/>
      <c r="AO22" s="173"/>
      <c r="AP22" s="161"/>
      <c r="AQ22" s="161"/>
      <c r="AR22" s="161"/>
      <c r="AS22" s="161"/>
      <c r="AT22" s="175"/>
      <c r="AU22" s="162"/>
    </row>
    <row r="23" spans="1:47" ht="36" customHeight="1" x14ac:dyDescent="0.2">
      <c r="A23" s="111">
        <v>5</v>
      </c>
      <c r="B23" s="134" t="s">
        <v>54</v>
      </c>
      <c r="C23" s="113" t="s">
        <v>53</v>
      </c>
      <c r="D23" s="135">
        <v>1</v>
      </c>
      <c r="E23" s="53">
        <v>51200</v>
      </c>
      <c r="F23" s="117">
        <f t="shared" si="0"/>
        <v>9728</v>
      </c>
      <c r="G23" s="117">
        <f t="shared" si="1"/>
        <v>60928</v>
      </c>
      <c r="H23" s="136">
        <f t="shared" si="2"/>
        <v>60928</v>
      </c>
      <c r="I23" s="75">
        <v>17500</v>
      </c>
      <c r="J23" s="117">
        <f t="shared" si="3"/>
        <v>3325</v>
      </c>
      <c r="K23" s="117">
        <f t="shared" si="4"/>
        <v>20825</v>
      </c>
      <c r="L23" s="121">
        <f t="shared" si="5"/>
        <v>20825</v>
      </c>
      <c r="M23" s="53">
        <v>55500</v>
      </c>
      <c r="N23" s="117">
        <f t="shared" si="6"/>
        <v>10545</v>
      </c>
      <c r="O23" s="117">
        <f t="shared" si="7"/>
        <v>66045</v>
      </c>
      <c r="P23" s="121">
        <f t="shared" si="8"/>
        <v>66045</v>
      </c>
      <c r="Q23" s="137">
        <v>8403</v>
      </c>
      <c r="R23" s="138">
        <v>150.99</v>
      </c>
      <c r="S23" s="306">
        <v>160.41999999999999</v>
      </c>
      <c r="T23" s="308">
        <f t="shared" si="9"/>
        <v>8927.8048877409092</v>
      </c>
      <c r="U23" s="309">
        <f t="shared" si="10"/>
        <v>1696</v>
      </c>
      <c r="V23" s="139">
        <f t="shared" si="11"/>
        <v>10624</v>
      </c>
      <c r="W23" s="344">
        <f t="shared" si="12"/>
        <v>10624</v>
      </c>
      <c r="X23" s="57">
        <f t="shared" si="13"/>
        <v>41400</v>
      </c>
      <c r="Y23" s="117">
        <f t="shared" si="16"/>
        <v>7866</v>
      </c>
      <c r="Z23" s="117">
        <f t="shared" si="17"/>
        <v>49266</v>
      </c>
      <c r="AA23" s="117">
        <f t="shared" si="18"/>
        <v>49266</v>
      </c>
      <c r="AB23" s="82">
        <f t="shared" si="19"/>
        <v>20809.372888196318</v>
      </c>
      <c r="AC23" s="50">
        <f t="shared" si="20"/>
        <v>0.50264185720280963</v>
      </c>
      <c r="AE23" s="57">
        <f>GEOMEAN(E23,I23,M23)</f>
        <v>36773.389710285941</v>
      </c>
      <c r="AF23" s="117">
        <f t="shared" si="14"/>
        <v>6987</v>
      </c>
      <c r="AG23" s="117">
        <f t="shared" si="15"/>
        <v>43760</v>
      </c>
      <c r="AH23" s="188">
        <f t="shared" si="21"/>
        <v>43760</v>
      </c>
      <c r="AI23" s="351">
        <f>STDEV(E23,I23,M23)</f>
        <v>20809.372888196318</v>
      </c>
      <c r="AK23" s="172"/>
      <c r="AL23" s="173"/>
      <c r="AM23" s="160"/>
      <c r="AN23" s="173"/>
      <c r="AO23" s="173"/>
      <c r="AP23" s="161"/>
      <c r="AQ23" s="161"/>
      <c r="AR23" s="161"/>
      <c r="AS23" s="161"/>
      <c r="AT23" s="175"/>
      <c r="AU23" s="162"/>
    </row>
    <row r="24" spans="1:47" s="182" customFormat="1" ht="36" customHeight="1" x14ac:dyDescent="0.2">
      <c r="A24" s="193">
        <v>6</v>
      </c>
      <c r="B24" s="194" t="s">
        <v>55</v>
      </c>
      <c r="C24" s="195" t="s">
        <v>53</v>
      </c>
      <c r="D24" s="196">
        <v>1</v>
      </c>
      <c r="E24" s="197">
        <v>34900</v>
      </c>
      <c r="F24" s="198">
        <f t="shared" si="0"/>
        <v>6631</v>
      </c>
      <c r="G24" s="198">
        <f t="shared" si="1"/>
        <v>41531</v>
      </c>
      <c r="H24" s="199">
        <f t="shared" si="2"/>
        <v>41531</v>
      </c>
      <c r="I24" s="200">
        <v>10000</v>
      </c>
      <c r="J24" s="198">
        <f t="shared" si="3"/>
        <v>1900</v>
      </c>
      <c r="K24" s="198">
        <f t="shared" si="4"/>
        <v>11900</v>
      </c>
      <c r="L24" s="201">
        <f t="shared" si="5"/>
        <v>11900</v>
      </c>
      <c r="M24" s="197">
        <v>48000</v>
      </c>
      <c r="N24" s="198">
        <f t="shared" si="6"/>
        <v>9120</v>
      </c>
      <c r="O24" s="198">
        <f t="shared" si="7"/>
        <v>57120</v>
      </c>
      <c r="P24" s="201">
        <f t="shared" si="8"/>
        <v>57120</v>
      </c>
      <c r="Q24" s="202">
        <v>5882</v>
      </c>
      <c r="R24" s="203">
        <v>150.99</v>
      </c>
      <c r="S24" s="307">
        <v>160.41999999999999</v>
      </c>
      <c r="T24" s="308">
        <f t="shared" si="9"/>
        <v>6249.357175971918</v>
      </c>
      <c r="U24" s="310">
        <f t="shared" si="10"/>
        <v>1187</v>
      </c>
      <c r="V24" s="206">
        <f t="shared" si="11"/>
        <v>7436</v>
      </c>
      <c r="W24" s="345">
        <f t="shared" si="12"/>
        <v>7436</v>
      </c>
      <c r="X24" s="208">
        <f t="shared" si="13"/>
        <v>30966.666666666668</v>
      </c>
      <c r="Y24" s="198">
        <f t="shared" si="16"/>
        <v>5884</v>
      </c>
      <c r="Z24" s="198">
        <f t="shared" si="17"/>
        <v>36851</v>
      </c>
      <c r="AA24" s="198">
        <f t="shared" si="18"/>
        <v>36851</v>
      </c>
      <c r="AB24" s="209">
        <f t="shared" si="19"/>
        <v>19302.935873419185</v>
      </c>
      <c r="AC24" s="210">
        <f t="shared" si="20"/>
        <v>0.62334561485745477</v>
      </c>
      <c r="AE24" s="208">
        <f>IF(AND(AC24&gt;30%,AC24&lt;=60%),GEOMEAN(E24,I24,M24),IF(AC24&lt;=30%,AVERAGE(E24,I24,M24),AT24))</f>
        <v>17049.785725323974</v>
      </c>
      <c r="AF24" s="198">
        <f t="shared" si="14"/>
        <v>3239</v>
      </c>
      <c r="AG24" s="198">
        <f t="shared" si="15"/>
        <v>20289</v>
      </c>
      <c r="AH24" s="211">
        <f t="shared" si="21"/>
        <v>20289</v>
      </c>
      <c r="AI24" s="352">
        <v>0</v>
      </c>
      <c r="AK24" s="212">
        <f>AVERAGE(E24,I24,M24,T24)</f>
        <v>24787.33929399298</v>
      </c>
      <c r="AL24" s="213">
        <f>STDEV(E24,I24,M24,T24)</f>
        <v>20028.444006884791</v>
      </c>
      <c r="AM24" s="214">
        <f t="shared" ref="AM24:AM42" si="22">IFERROR(AL24/AK24,"")</f>
        <v>0.80801104827489612</v>
      </c>
      <c r="AN24" s="213">
        <f t="shared" ref="AN24:AN42" si="23">AK24-AL24</f>
        <v>4758.8952871081892</v>
      </c>
      <c r="AO24" s="213">
        <f t="shared" ref="AO24:AO42" si="24">AK24+AL24</f>
        <v>44815.783300877767</v>
      </c>
      <c r="AP24" s="215" t="str">
        <f>IF(AM24&gt;60%,IF(AND(ISNUMBER(E24),E24&gt;=AN24,E24&lt;=AO24),"PERMANECE",IF(ISNUMBER(E24),"SE ACOTA","SIN DATO")),"NO APLICA")</f>
        <v>PERMANECE</v>
      </c>
      <c r="AQ24" s="215" t="str">
        <f>IF(AM24&gt;60%,IF(AND(ISNUMBER(I24),I24&gt;=AN24,I24&lt;=AO24),"PERMANECE",IF(ISNUMBER(I24),"SE ACOTA","SIN DATO")),"NO APLICA")</f>
        <v>PERMANECE</v>
      </c>
      <c r="AR24" s="215" t="str">
        <f>IF(AM24&gt;60%,IF(AND(ISNUMBER(M24),M24&gt;=AN24,M24&lt;=AO24),"PERMANECE",IF(ISNUMBER(M24),"SE ACOTA","SIN DATO")),"NO APLICA")</f>
        <v>SE ACOTA</v>
      </c>
      <c r="AS24" s="215" t="str">
        <f>IF(AM24&gt;60%,IF(AND(ISNUMBER(T24),T24&gt;=AN24,T24&lt;=AO24),"PERMANECE",IF(ISNUMBER(T24),"SE ACOTA","SIN DATO")),"NO APLICA")</f>
        <v>PERMANECE</v>
      </c>
      <c r="AT24" s="216">
        <f>IF(AM24&gt;60%,IFERROR((IF(AND(ISNUMBER(E24),E24&gt;=AN24,E24&lt;=AO24),E24,0) + IF(AND(ISNUMBER(I24),I24&gt;=AN24,I24&lt;=AO24),I24,0) + IF(AND(ISNUMBER(M24),M24&gt;=AN24,M24&lt;=AO24),M24,0) + IF(AND(ISNUMBER(T24),T24&gt;=AN24,T24&lt;=AO24),T24,0))/(--AND(ISNUMBER(E24),E24&gt;=AN24,E24&lt;=AO24) + --AND(ISNUMBER(I24),I24&gt;=AN24,I24&lt;=AO24) + --AND(ISNUMBER(M24),M24&gt;=AN24,M24&lt;=AO24) + --AND(ISNUMBER(T24),T24&gt;=AN24,T24&lt;=AO24)),""),AVERAGE(E24,I24,M24,T24))</f>
        <v>17049.785725323974</v>
      </c>
      <c r="AU24" s="217">
        <f>IF(AM24&gt;60%,IF((--AND(ISNUMBER(E24),E24&gt;=AN24,E24&lt;=AO24) + --AND(ISNUMBER(I24),I24&gt;=AN24,I24&lt;=AO24) + --AND(ISNUMBER(M24),M24&gt;=AN24,M24&lt;=AO24) + --AND(ISNUMBER(T24),T24&gt;=AN24,T24&lt;=AO24))&gt;=2,SQRT((IF(AND(ISNUMBER(E24),E24&gt;=AN24,E24&lt;=AO24),(E24-AT24)^2,0) + IF(AND(ISNUMBER(I24),I24&gt;=AN24,I24&lt;=AO24),(I24-AT24)^2,0) + IF(AND(ISNUMBER(M24),M24&gt;=AN24,M24&lt;=AO24),(M24-AT24)^2,0) + IF(AND(ISNUMBER(T24),T24&gt;=AN24,T24&lt;=AO24),(T24-AT24)^2,0))/((--AND(ISNUMBER(E24),E24&gt;=AN24,E24&lt;=AO24) + --AND(ISNUMBER(I24),I24&gt;=AN24,I24&lt;=AO24) + --AND(ISNUMBER(M24),M24&gt;=AN24,M24&lt;=AO24) + --AND(ISNUMBER(T24),T24&gt;=AN24,T24&lt;=AO24))-1))/AT24,""),AM24)</f>
        <v>0.91332951469822532</v>
      </c>
    </row>
    <row r="25" spans="1:47" s="182" customFormat="1" ht="36" customHeight="1" x14ac:dyDescent="0.2">
      <c r="A25" s="193">
        <v>7</v>
      </c>
      <c r="B25" s="194" t="s">
        <v>56</v>
      </c>
      <c r="C25" s="195" t="s">
        <v>53</v>
      </c>
      <c r="D25" s="196">
        <v>1</v>
      </c>
      <c r="E25" s="197">
        <v>15750</v>
      </c>
      <c r="F25" s="198">
        <f t="shared" si="0"/>
        <v>2993</v>
      </c>
      <c r="G25" s="198">
        <f t="shared" si="1"/>
        <v>18743</v>
      </c>
      <c r="H25" s="199">
        <f t="shared" si="2"/>
        <v>18743</v>
      </c>
      <c r="I25" s="200">
        <v>8000</v>
      </c>
      <c r="J25" s="198">
        <f t="shared" si="3"/>
        <v>1520</v>
      </c>
      <c r="K25" s="198">
        <f t="shared" si="4"/>
        <v>9520</v>
      </c>
      <c r="L25" s="201">
        <f t="shared" si="5"/>
        <v>9520</v>
      </c>
      <c r="M25" s="197">
        <v>40500</v>
      </c>
      <c r="N25" s="198">
        <f t="shared" si="6"/>
        <v>7695</v>
      </c>
      <c r="O25" s="198">
        <f t="shared" si="7"/>
        <v>48195</v>
      </c>
      <c r="P25" s="201">
        <f t="shared" si="8"/>
        <v>48195</v>
      </c>
      <c r="Q25" s="202">
        <v>2521</v>
      </c>
      <c r="R25" s="203">
        <v>150.99</v>
      </c>
      <c r="S25" s="307">
        <v>160.41999999999999</v>
      </c>
      <c r="T25" s="308">
        <f t="shared" si="9"/>
        <v>2678.4477117689908</v>
      </c>
      <c r="U25" s="310">
        <f t="shared" si="10"/>
        <v>509</v>
      </c>
      <c r="V25" s="206">
        <f t="shared" si="11"/>
        <v>3187</v>
      </c>
      <c r="W25" s="345">
        <f t="shared" si="12"/>
        <v>3187</v>
      </c>
      <c r="X25" s="208">
        <f t="shared" si="13"/>
        <v>21416.666666666668</v>
      </c>
      <c r="Y25" s="198">
        <f t="shared" si="16"/>
        <v>4069</v>
      </c>
      <c r="Z25" s="198">
        <f t="shared" si="17"/>
        <v>25486</v>
      </c>
      <c r="AA25" s="198">
        <f t="shared" si="18"/>
        <v>25486</v>
      </c>
      <c r="AB25" s="209">
        <f t="shared" si="19"/>
        <v>16974.858860483448</v>
      </c>
      <c r="AC25" s="210">
        <f t="shared" si="20"/>
        <v>0.79260041371907142</v>
      </c>
      <c r="AE25" s="208">
        <f>IF(AND(AC25&gt;30%,AC25&lt;=60%),GEOMEAN(E25,I25,M25),IF(AC25&lt;=30%,AVERAGE(E25,I25,M25),AT25))</f>
        <v>8809.4825705896637</v>
      </c>
      <c r="AF25" s="198">
        <f t="shared" si="14"/>
        <v>1674</v>
      </c>
      <c r="AG25" s="198">
        <f t="shared" si="15"/>
        <v>10483</v>
      </c>
      <c r="AH25" s="211">
        <f t="shared" si="21"/>
        <v>10483</v>
      </c>
      <c r="AI25" s="352">
        <v>0</v>
      </c>
      <c r="AK25" s="212">
        <f>AVERAGE(E25,I25,M25,T25)</f>
        <v>16732.111927942249</v>
      </c>
      <c r="AL25" s="213">
        <f>STDEV(E25,I25,M25,T25)</f>
        <v>16729.537788673177</v>
      </c>
      <c r="AM25" s="214">
        <f t="shared" si="22"/>
        <v>0.9998461557464976</v>
      </c>
      <c r="AN25" s="213">
        <f t="shared" si="23"/>
        <v>2.5741392690724751</v>
      </c>
      <c r="AO25" s="213">
        <f t="shared" si="24"/>
        <v>33461.649716615429</v>
      </c>
      <c r="AP25" s="215" t="str">
        <f>IF(AM25&gt;60%,IF(AND(ISNUMBER(E25),E25&gt;=AN25,E25&lt;=AO25),"PERMANECE",IF(ISNUMBER(E25),"SE ACOTA","SIN DATO")),"NO APLICA")</f>
        <v>PERMANECE</v>
      </c>
      <c r="AQ25" s="215" t="str">
        <f>IF(AM25&gt;60%,IF(AND(ISNUMBER(I25),I25&gt;=AN25,I25&lt;=AO25),"PERMANECE",IF(ISNUMBER(I25),"SE ACOTA","SIN DATO")),"NO APLICA")</f>
        <v>PERMANECE</v>
      </c>
      <c r="AR25" s="215" t="str">
        <f>IF(AM25&gt;60%,IF(AND(ISNUMBER(M25),M25&gt;=AN25,M25&lt;=AO25),"PERMANECE",IF(ISNUMBER(M25),"SE ACOTA","SIN DATO")),"NO APLICA")</f>
        <v>SE ACOTA</v>
      </c>
      <c r="AS25" s="215" t="str">
        <f>IF(AM25&gt;60%,IF(AND(ISNUMBER(T25),T25&gt;=AN25,T25&lt;=AO25),"PERMANECE",IF(ISNUMBER(T25),"SE ACOTA","SIN DATO")),"NO APLICA")</f>
        <v>PERMANECE</v>
      </c>
      <c r="AT25" s="216">
        <f>IF(AM25&gt;60%,IFERROR((IF(AND(ISNUMBER(E25),E25&gt;=AN25,E25&lt;=AO25),E25,0) + IF(AND(ISNUMBER(I25),I25&gt;=AN25,I25&lt;=AO25),I25,0) + IF(AND(ISNUMBER(M25),M25&gt;=AN25,M25&lt;=AO25),M25,0) + IF(AND(ISNUMBER(T25),T25&gt;=AN25,T25&lt;=AO25),T25,0))/(--AND(ISNUMBER(E25),E25&gt;=AN25,E25&lt;=AO25) + --AND(ISNUMBER(I25),I25&gt;=AN25,I25&lt;=AO25) + --AND(ISNUMBER(M25),M25&gt;=AN25,M25&lt;=AO25) + --AND(ISNUMBER(T25),T25&gt;=AN25,T25&lt;=AO25)),""),AVERAGE(E25,I25,M25,T25))</f>
        <v>8809.4825705896637</v>
      </c>
      <c r="AU25" s="217">
        <f>IF(AM25&gt;60%,IF((--AND(ISNUMBER(E25),E25&gt;=AN25,E25&lt;=AO25) + --AND(ISNUMBER(I25),I25&gt;=AN25,I25&lt;=AO25) + --AND(ISNUMBER(M25),M25&gt;=AN25,M25&lt;=AO25) + --AND(ISNUMBER(T25),T25&gt;=AN25,T25&lt;=AO25))&gt;=2,SQRT((IF(AND(ISNUMBER(E25),E25&gt;=AN25,E25&lt;=AO25),(E25-AT25)^2,0) + IF(AND(ISNUMBER(I25),I25&gt;=AN25,I25&lt;=AO25),(I25-AT25)^2,0) + IF(AND(ISNUMBER(M25),M25&gt;=AN25,M25&lt;=AO25),(M25-AT25)^2,0) + IF(AND(ISNUMBER(T25),T25&gt;=AN25,T25&lt;=AO25),(T25-AT25)^2,0))/((--AND(ISNUMBER(E25),E25&gt;=AN25,E25&lt;=AO25) + --AND(ISNUMBER(I25),I25&gt;=AN25,I25&lt;=AO25) + --AND(ISNUMBER(M25),M25&gt;=AN25,M25&lt;=AO25) + --AND(ISNUMBER(T25),T25&gt;=AN25,T25&lt;=AO25))-1))/AT25,""),AM25)</f>
        <v>0.74615792912587364</v>
      </c>
    </row>
    <row r="26" spans="1:47" s="182" customFormat="1" ht="36" customHeight="1" x14ac:dyDescent="0.2">
      <c r="A26" s="193">
        <v>8</v>
      </c>
      <c r="B26" s="194" t="s">
        <v>57</v>
      </c>
      <c r="C26" s="195" t="s">
        <v>53</v>
      </c>
      <c r="D26" s="196">
        <v>1</v>
      </c>
      <c r="E26" s="197">
        <v>10900</v>
      </c>
      <c r="F26" s="198">
        <f t="shared" si="0"/>
        <v>2071</v>
      </c>
      <c r="G26" s="198">
        <f t="shared" si="1"/>
        <v>12971</v>
      </c>
      <c r="H26" s="199">
        <f t="shared" si="2"/>
        <v>12971</v>
      </c>
      <c r="I26" s="200">
        <v>8000</v>
      </c>
      <c r="J26" s="198">
        <f t="shared" si="3"/>
        <v>1520</v>
      </c>
      <c r="K26" s="198">
        <f t="shared" si="4"/>
        <v>9520</v>
      </c>
      <c r="L26" s="201">
        <f t="shared" si="5"/>
        <v>9520</v>
      </c>
      <c r="M26" s="197">
        <v>42000</v>
      </c>
      <c r="N26" s="198">
        <f t="shared" si="6"/>
        <v>7980</v>
      </c>
      <c r="O26" s="198">
        <f t="shared" si="7"/>
        <v>49980</v>
      </c>
      <c r="P26" s="201">
        <f t="shared" si="8"/>
        <v>49980</v>
      </c>
      <c r="Q26" s="202">
        <v>1681</v>
      </c>
      <c r="R26" s="203">
        <v>150.99</v>
      </c>
      <c r="S26" s="307">
        <v>160.41999999999999</v>
      </c>
      <c r="T26" s="308">
        <f t="shared" si="9"/>
        <v>1785.985959335055</v>
      </c>
      <c r="U26" s="310">
        <f t="shared" si="10"/>
        <v>339</v>
      </c>
      <c r="V26" s="206">
        <f t="shared" si="11"/>
        <v>2125</v>
      </c>
      <c r="W26" s="345">
        <f t="shared" si="12"/>
        <v>2125</v>
      </c>
      <c r="X26" s="208">
        <f t="shared" si="13"/>
        <v>20300</v>
      </c>
      <c r="Y26" s="198">
        <f t="shared" si="16"/>
        <v>3857</v>
      </c>
      <c r="Z26" s="198">
        <f t="shared" si="17"/>
        <v>24157</v>
      </c>
      <c r="AA26" s="198">
        <f t="shared" si="18"/>
        <v>24157</v>
      </c>
      <c r="AB26" s="209">
        <f t="shared" si="19"/>
        <v>18848.607375612661</v>
      </c>
      <c r="AC26" s="210">
        <f t="shared" si="20"/>
        <v>0.92850282638486015</v>
      </c>
      <c r="AE26" s="208">
        <f>IF(AND(AC26&gt;30%,AC26&lt;=60%),GEOMEAN(E26,I26,M26),IF(AC26&lt;=30%,AVERAGE(E26,I26,M26),AT26))</f>
        <v>6895.3286531116855</v>
      </c>
      <c r="AF26" s="198">
        <f t="shared" si="14"/>
        <v>1310</v>
      </c>
      <c r="AG26" s="198">
        <f t="shared" si="15"/>
        <v>8205</v>
      </c>
      <c r="AH26" s="211">
        <f t="shared" si="21"/>
        <v>8205</v>
      </c>
      <c r="AI26" s="352">
        <v>0</v>
      </c>
      <c r="AK26" s="212">
        <f>AVERAGE(E26,I26,M26,T26)</f>
        <v>15671.496489833764</v>
      </c>
      <c r="AL26" s="213">
        <f>STDEV(E26,I26,M26,T26)</f>
        <v>17959.366515585993</v>
      </c>
      <c r="AM26" s="214">
        <f t="shared" si="22"/>
        <v>1.1459892504354252</v>
      </c>
      <c r="AN26" s="213">
        <f t="shared" si="23"/>
        <v>-2287.8700257522287</v>
      </c>
      <c r="AO26" s="213">
        <f t="shared" si="24"/>
        <v>33630.863005419757</v>
      </c>
      <c r="AP26" s="215" t="str">
        <f>IF(AM26&gt;60%,IF(AND(ISNUMBER(E26),E26&gt;=AN26,E26&lt;=AO26),"PERMANECE",IF(ISNUMBER(E26),"SE ACOTA","SIN DATO")),"NO APLICA")</f>
        <v>PERMANECE</v>
      </c>
      <c r="AQ26" s="215" t="str">
        <f>IF(AM26&gt;60%,IF(AND(ISNUMBER(I26),I26&gt;=AN26,I26&lt;=AO26),"PERMANECE",IF(ISNUMBER(I26),"SE ACOTA","SIN DATO")),"NO APLICA")</f>
        <v>PERMANECE</v>
      </c>
      <c r="AR26" s="215" t="str">
        <f>IF(AM26&gt;60%,IF(AND(ISNUMBER(M26),M26&gt;=AN26,M26&lt;=AO26),"PERMANECE",IF(ISNUMBER(M26),"SE ACOTA","SIN DATO")),"NO APLICA")</f>
        <v>SE ACOTA</v>
      </c>
      <c r="AS26" s="215" t="str">
        <f>IF(AM26&gt;60%,IF(AND(ISNUMBER(T26),T26&gt;=AN26,T26&lt;=AO26),"PERMANECE",IF(ISNUMBER(T26),"SE ACOTA","SIN DATO")),"NO APLICA")</f>
        <v>PERMANECE</v>
      </c>
      <c r="AT26" s="216">
        <f>IF(AM26&gt;60%,IFERROR((IF(AND(ISNUMBER(E26),E26&gt;=AN26,E26&lt;=AO26),E26,0) + IF(AND(ISNUMBER(I26),I26&gt;=AN26,I26&lt;=AO26),I26,0) + IF(AND(ISNUMBER(M26),M26&gt;=AN26,M26&lt;=AO26),M26,0) + IF(AND(ISNUMBER(T26),T26&gt;=AN26,T26&lt;=AO26),T26,0))/(--AND(ISNUMBER(E26),E26&gt;=AN26,E26&lt;=AO26) + --AND(ISNUMBER(I26),I26&gt;=AN26,I26&lt;=AO26) + --AND(ISNUMBER(M26),M26&gt;=AN26,M26&lt;=AO26) + --AND(ISNUMBER(T26),T26&gt;=AN26,T26&lt;=AO26)),""),AVERAGE(E26,I26,M26,T26))</f>
        <v>6895.3286531116855</v>
      </c>
      <c r="AU26" s="217">
        <f>IF(AM26&gt;60%,IF((--AND(ISNUMBER(E26),E26&gt;=AN26,E26&lt;=AO26) + --AND(ISNUMBER(I26),I26&gt;=AN26,I26&lt;=AO26) + --AND(ISNUMBER(M26),M26&gt;=AN26,M26&lt;=AO26) + --AND(ISNUMBER(T26),T26&gt;=AN26,T26&lt;=AO26))&gt;=2,SQRT((IF(AND(ISNUMBER(E26),E26&gt;=AN26,E26&lt;=AO26),(E26-AT26)^2,0) + IF(AND(ISNUMBER(I26),I26&gt;=AN26,I26&lt;=AO26),(I26-AT26)^2,0) + IF(AND(ISNUMBER(M26),M26&gt;=AN26,M26&lt;=AO26),(M26-AT26)^2,0) + IF(AND(ISNUMBER(T26),T26&gt;=AN26,T26&lt;=AO26),(T26-AT26)^2,0))/((--AND(ISNUMBER(E26),E26&gt;=AN26,E26&lt;=AO26) + --AND(ISNUMBER(I26),I26&gt;=AN26,I26&lt;=AO26) + --AND(ISNUMBER(M26),M26&gt;=AN26,M26&lt;=AO26) + --AND(ISNUMBER(T26),T26&gt;=AN26,T26&lt;=AO26))-1))/AT26,""),AM26)</f>
        <v>0.67528960246500158</v>
      </c>
    </row>
    <row r="27" spans="1:47" s="182" customFormat="1" ht="36" customHeight="1" x14ac:dyDescent="0.2">
      <c r="A27" s="193">
        <v>9</v>
      </c>
      <c r="B27" s="194" t="s">
        <v>58</v>
      </c>
      <c r="C27" s="195" t="s">
        <v>53</v>
      </c>
      <c r="D27" s="196">
        <v>1</v>
      </c>
      <c r="E27" s="197">
        <v>12400</v>
      </c>
      <c r="F27" s="198">
        <f t="shared" si="0"/>
        <v>2356</v>
      </c>
      <c r="G27" s="198">
        <f t="shared" si="1"/>
        <v>14756</v>
      </c>
      <c r="H27" s="199">
        <f t="shared" si="2"/>
        <v>14756</v>
      </c>
      <c r="I27" s="200">
        <v>8000</v>
      </c>
      <c r="J27" s="198">
        <f t="shared" si="3"/>
        <v>1520</v>
      </c>
      <c r="K27" s="198">
        <f t="shared" si="4"/>
        <v>9520</v>
      </c>
      <c r="L27" s="201">
        <f t="shared" si="5"/>
        <v>9520</v>
      </c>
      <c r="M27" s="197">
        <v>45000</v>
      </c>
      <c r="N27" s="198">
        <f t="shared" si="6"/>
        <v>8550</v>
      </c>
      <c r="O27" s="198">
        <f t="shared" si="7"/>
        <v>53550</v>
      </c>
      <c r="P27" s="201">
        <f t="shared" si="8"/>
        <v>53550</v>
      </c>
      <c r="Q27" s="202">
        <v>1681</v>
      </c>
      <c r="R27" s="203">
        <v>150.99</v>
      </c>
      <c r="S27" s="307">
        <v>160.41999999999999</v>
      </c>
      <c r="T27" s="308">
        <f t="shared" si="9"/>
        <v>1785.985959335055</v>
      </c>
      <c r="U27" s="310">
        <f t="shared" si="10"/>
        <v>339</v>
      </c>
      <c r="V27" s="206">
        <f t="shared" si="11"/>
        <v>2125</v>
      </c>
      <c r="W27" s="345">
        <f t="shared" si="12"/>
        <v>2125</v>
      </c>
      <c r="X27" s="208">
        <f t="shared" si="13"/>
        <v>21800</v>
      </c>
      <c r="Y27" s="198">
        <f t="shared" si="16"/>
        <v>4142</v>
      </c>
      <c r="Z27" s="198">
        <f t="shared" si="17"/>
        <v>25942</v>
      </c>
      <c r="AA27" s="198">
        <f t="shared" si="18"/>
        <v>25942</v>
      </c>
      <c r="AB27" s="209">
        <f t="shared" si="19"/>
        <v>20211.877696047937</v>
      </c>
      <c r="AC27" s="210">
        <f t="shared" si="20"/>
        <v>0.92715035302972193</v>
      </c>
      <c r="AE27" s="208">
        <f>IF(AND(AC27&gt;30%,AC27&lt;=60%),GEOMEAN(E27,I27,M27),IF(AC27&lt;=30%,AVERAGE(E27,I27,M27),AT27))</f>
        <v>7395.3286531116855</v>
      </c>
      <c r="AF27" s="198">
        <f t="shared" si="14"/>
        <v>1405</v>
      </c>
      <c r="AG27" s="198">
        <f t="shared" si="15"/>
        <v>8800</v>
      </c>
      <c r="AH27" s="211">
        <f t="shared" si="21"/>
        <v>8800</v>
      </c>
      <c r="AI27" s="352">
        <v>0</v>
      </c>
      <c r="AK27" s="212">
        <f>AVERAGE(E27,I27,M27,T27)</f>
        <v>16796.496489833764</v>
      </c>
      <c r="AL27" s="213">
        <f>STDEV(E27,I27,M27,T27)</f>
        <v>19299.918553497835</v>
      </c>
      <c r="AM27" s="214">
        <f t="shared" si="22"/>
        <v>1.1490443001121866</v>
      </c>
      <c r="AN27" s="213">
        <f t="shared" si="23"/>
        <v>-2503.4220636640712</v>
      </c>
      <c r="AO27" s="213">
        <f t="shared" si="24"/>
        <v>36096.415043331595</v>
      </c>
      <c r="AP27" s="215" t="str">
        <f>IF(AM27&gt;60%,IF(AND(ISNUMBER(E27),E27&gt;=AN27,E27&lt;=AO27),"PERMANECE",IF(ISNUMBER(E27),"SE ACOTA","SIN DATO")),"NO APLICA")</f>
        <v>PERMANECE</v>
      </c>
      <c r="AQ27" s="215" t="str">
        <f>IF(AM27&gt;60%,IF(AND(ISNUMBER(I27),I27&gt;=AN27,I27&lt;=AO27),"PERMANECE",IF(ISNUMBER(I27),"SE ACOTA","SIN DATO")),"NO APLICA")</f>
        <v>PERMANECE</v>
      </c>
      <c r="AR27" s="215" t="str">
        <f>IF(AM27&gt;60%,IF(AND(ISNUMBER(M27),M27&gt;=AN27,M27&lt;=AO27),"PERMANECE",IF(ISNUMBER(M27),"SE ACOTA","SIN DATO")),"NO APLICA")</f>
        <v>SE ACOTA</v>
      </c>
      <c r="AS27" s="215" t="str">
        <f>IF(AM27&gt;60%,IF(AND(ISNUMBER(T27),T27&gt;=AN27,T27&lt;=AO27),"PERMANECE",IF(ISNUMBER(T27),"SE ACOTA","SIN DATO")),"NO APLICA")</f>
        <v>PERMANECE</v>
      </c>
      <c r="AT27" s="216">
        <f>IF(AM27&gt;60%,IFERROR((IF(AND(ISNUMBER(E27),E27&gt;=AN27,E27&lt;=AO27),E27,0) + IF(AND(ISNUMBER(I27),I27&gt;=AN27,I27&lt;=AO27),I27,0) + IF(AND(ISNUMBER(M27),M27&gt;=AN27,M27&lt;=AO27),M27,0) + IF(AND(ISNUMBER(T27),T27&gt;=AN27,T27&lt;=AO27),T27,0))/(--AND(ISNUMBER(E27),E27&gt;=AN27,E27&lt;=AO27) + --AND(ISNUMBER(I27),I27&gt;=AN27,I27&lt;=AO27) + --AND(ISNUMBER(M27),M27&gt;=AN27,M27&lt;=AO27) + --AND(ISNUMBER(T27),T27&gt;=AN27,T27&lt;=AO27)),""),AVERAGE(E27,I27,M27,T27))</f>
        <v>7395.3286531116855</v>
      </c>
      <c r="AU27" s="217">
        <f>IF(AM27&gt;60%,IF((--AND(ISNUMBER(E27),E27&gt;=AN27,E27&lt;=AO27) + --AND(ISNUMBER(I27),I27&gt;=AN27,I27&lt;=AO27) + --AND(ISNUMBER(M27),M27&gt;=AN27,M27&lt;=AO27) + --AND(ISNUMBER(T27),T27&gt;=AN27,T27&lt;=AO27))&gt;=2,SQRT((IF(AND(ISNUMBER(E27),E27&gt;=AN27,E27&lt;=AO27),(E27-AT27)^2,0) + IF(AND(ISNUMBER(I27),I27&gt;=AN27,I27&lt;=AO27),(I27-AT27)^2,0) + IF(AND(ISNUMBER(M27),M27&gt;=AN27,M27&lt;=AO27),(M27-AT27)^2,0) + IF(AND(ISNUMBER(T27),T27&gt;=AN27,T27&lt;=AO27),(T27-AT27)^2,0))/((--AND(ISNUMBER(E27),E27&gt;=AN27,E27&lt;=AO27) + --AND(ISNUMBER(I27),I27&gt;=AN27,I27&lt;=AO27) + --AND(ISNUMBER(M27),M27&gt;=AN27,M27&lt;=AO27) + --AND(ISNUMBER(T27),T27&gt;=AN27,T27&lt;=AO27))-1))/AT27,""),AM27)</f>
        <v>0.72110117031441301</v>
      </c>
    </row>
    <row r="28" spans="1:47" ht="36" customHeight="1" x14ac:dyDescent="0.2">
      <c r="A28" s="111">
        <v>10</v>
      </c>
      <c r="B28" s="134" t="s">
        <v>59</v>
      </c>
      <c r="C28" s="113" t="s">
        <v>53</v>
      </c>
      <c r="D28" s="135">
        <v>1</v>
      </c>
      <c r="E28" s="53">
        <v>141300</v>
      </c>
      <c r="F28" s="117">
        <f t="shared" si="0"/>
        <v>26847</v>
      </c>
      <c r="G28" s="117">
        <f t="shared" si="1"/>
        <v>168147</v>
      </c>
      <c r="H28" s="136">
        <f t="shared" si="2"/>
        <v>168147</v>
      </c>
      <c r="I28" s="75">
        <v>150000</v>
      </c>
      <c r="J28" s="117">
        <f t="shared" si="3"/>
        <v>28500</v>
      </c>
      <c r="K28" s="117">
        <f t="shared" si="4"/>
        <v>178500</v>
      </c>
      <c r="L28" s="121">
        <f t="shared" si="5"/>
        <v>178500</v>
      </c>
      <c r="M28" s="53">
        <v>246000</v>
      </c>
      <c r="N28" s="117">
        <f t="shared" si="6"/>
        <v>46740</v>
      </c>
      <c r="O28" s="117">
        <f t="shared" si="7"/>
        <v>292740</v>
      </c>
      <c r="P28" s="121">
        <f t="shared" si="8"/>
        <v>292740</v>
      </c>
      <c r="Q28" s="137">
        <v>50420</v>
      </c>
      <c r="R28" s="138">
        <v>150.99</v>
      </c>
      <c r="S28" s="306">
        <v>160.41999999999999</v>
      </c>
      <c r="T28" s="308">
        <f t="shared" si="9"/>
        <v>53568.954235379817</v>
      </c>
      <c r="U28" s="309">
        <f t="shared" si="10"/>
        <v>10178</v>
      </c>
      <c r="V28" s="139">
        <f t="shared" si="11"/>
        <v>63747</v>
      </c>
      <c r="W28" s="344">
        <f t="shared" si="12"/>
        <v>63747</v>
      </c>
      <c r="X28" s="57">
        <f t="shared" si="13"/>
        <v>179100</v>
      </c>
      <c r="Y28" s="117">
        <f t="shared" si="16"/>
        <v>34029</v>
      </c>
      <c r="Z28" s="117">
        <f t="shared" si="17"/>
        <v>213129</v>
      </c>
      <c r="AA28" s="117">
        <f t="shared" si="18"/>
        <v>213129</v>
      </c>
      <c r="AB28" s="82">
        <f t="shared" si="19"/>
        <v>58100.172116784648</v>
      </c>
      <c r="AC28" s="50">
        <f t="shared" si="20"/>
        <v>0.32440073767048938</v>
      </c>
      <c r="AE28" s="57">
        <f>GEOMEAN(E28,I28,M28)</f>
        <v>173402.82798515164</v>
      </c>
      <c r="AF28" s="117">
        <f t="shared" si="14"/>
        <v>32947</v>
      </c>
      <c r="AG28" s="117">
        <f t="shared" si="15"/>
        <v>206350</v>
      </c>
      <c r="AH28" s="188">
        <f t="shared" si="21"/>
        <v>206350</v>
      </c>
      <c r="AI28" s="351">
        <f>STDEV(E28,I28,M28)</f>
        <v>58100.172116784648</v>
      </c>
      <c r="AK28" s="172"/>
      <c r="AL28" s="173"/>
      <c r="AM28" s="160"/>
      <c r="AN28" s="173"/>
      <c r="AO28" s="173"/>
      <c r="AP28" s="161"/>
      <c r="AQ28" s="161"/>
      <c r="AR28" s="161"/>
      <c r="AS28" s="161"/>
      <c r="AT28" s="175"/>
      <c r="AU28" s="162"/>
    </row>
    <row r="29" spans="1:47" ht="36" customHeight="1" x14ac:dyDescent="0.2">
      <c r="A29" s="111">
        <v>11</v>
      </c>
      <c r="B29" s="134" t="s">
        <v>60</v>
      </c>
      <c r="C29" s="113" t="s">
        <v>53</v>
      </c>
      <c r="D29" s="135">
        <v>1</v>
      </c>
      <c r="E29" s="53">
        <v>79350</v>
      </c>
      <c r="F29" s="117">
        <f t="shared" si="0"/>
        <v>15077</v>
      </c>
      <c r="G29" s="117">
        <f t="shared" si="1"/>
        <v>94427</v>
      </c>
      <c r="H29" s="136">
        <f t="shared" si="2"/>
        <v>94427</v>
      </c>
      <c r="I29" s="75">
        <v>100000</v>
      </c>
      <c r="J29" s="117">
        <f t="shared" si="3"/>
        <v>19000</v>
      </c>
      <c r="K29" s="117">
        <f t="shared" si="4"/>
        <v>119000</v>
      </c>
      <c r="L29" s="121">
        <f t="shared" si="5"/>
        <v>119000</v>
      </c>
      <c r="M29" s="53">
        <v>171000</v>
      </c>
      <c r="N29" s="117">
        <f t="shared" si="6"/>
        <v>32490</v>
      </c>
      <c r="O29" s="117">
        <f t="shared" si="7"/>
        <v>203490</v>
      </c>
      <c r="P29" s="121">
        <f t="shared" si="8"/>
        <v>203490</v>
      </c>
      <c r="Q29" s="137">
        <v>29412</v>
      </c>
      <c r="R29" s="138">
        <v>150.99</v>
      </c>
      <c r="S29" s="306">
        <v>160.41999999999999</v>
      </c>
      <c r="T29" s="308">
        <f t="shared" si="9"/>
        <v>31248.910788793957</v>
      </c>
      <c r="U29" s="309">
        <f t="shared" si="10"/>
        <v>5937</v>
      </c>
      <c r="V29" s="139">
        <f t="shared" si="11"/>
        <v>37186</v>
      </c>
      <c r="W29" s="344">
        <f t="shared" si="12"/>
        <v>37186</v>
      </c>
      <c r="X29" s="57">
        <f t="shared" si="13"/>
        <v>116783.33333333333</v>
      </c>
      <c r="Y29" s="117">
        <f t="shared" si="16"/>
        <v>22189</v>
      </c>
      <c r="Z29" s="117">
        <f t="shared" si="17"/>
        <v>138972</v>
      </c>
      <c r="AA29" s="117">
        <f t="shared" si="18"/>
        <v>138972</v>
      </c>
      <c r="AB29" s="82">
        <f t="shared" si="19"/>
        <v>48074.846160266934</v>
      </c>
      <c r="AC29" s="50">
        <f t="shared" si="20"/>
        <v>0.41165845149365149</v>
      </c>
      <c r="AE29" s="57">
        <f>GEOMEAN(E29,I29,M29)</f>
        <v>110708.51206202818</v>
      </c>
      <c r="AF29" s="117">
        <f t="shared" si="14"/>
        <v>21035</v>
      </c>
      <c r="AG29" s="117">
        <f t="shared" si="15"/>
        <v>131744</v>
      </c>
      <c r="AH29" s="188">
        <f t="shared" si="21"/>
        <v>131744</v>
      </c>
      <c r="AI29" s="351">
        <f>STDEV(E29,I29,M29)</f>
        <v>48074.846160266934</v>
      </c>
      <c r="AK29" s="172"/>
      <c r="AL29" s="173"/>
      <c r="AM29" s="160"/>
      <c r="AN29" s="173"/>
      <c r="AO29" s="173"/>
      <c r="AP29" s="161"/>
      <c r="AQ29" s="161"/>
      <c r="AR29" s="161"/>
      <c r="AS29" s="161"/>
      <c r="AT29" s="175"/>
      <c r="AU29" s="162"/>
    </row>
    <row r="30" spans="1:47" ht="36" customHeight="1" x14ac:dyDescent="0.2">
      <c r="A30" s="111">
        <v>12</v>
      </c>
      <c r="B30" s="134" t="s">
        <v>61</v>
      </c>
      <c r="C30" s="113" t="s">
        <v>53</v>
      </c>
      <c r="D30" s="135">
        <v>1</v>
      </c>
      <c r="E30" s="53">
        <v>55400</v>
      </c>
      <c r="F30" s="117">
        <f t="shared" si="0"/>
        <v>10526</v>
      </c>
      <c r="G30" s="117">
        <f t="shared" si="1"/>
        <v>65926</v>
      </c>
      <c r="H30" s="136">
        <f t="shared" si="2"/>
        <v>65926</v>
      </c>
      <c r="I30" s="75">
        <v>90000</v>
      </c>
      <c r="J30" s="117">
        <f t="shared" si="3"/>
        <v>17100</v>
      </c>
      <c r="K30" s="117">
        <f t="shared" si="4"/>
        <v>107100</v>
      </c>
      <c r="L30" s="121">
        <f t="shared" si="5"/>
        <v>107100</v>
      </c>
      <c r="M30" s="53">
        <v>126000</v>
      </c>
      <c r="N30" s="117">
        <f t="shared" si="6"/>
        <v>23940</v>
      </c>
      <c r="O30" s="117">
        <f t="shared" si="7"/>
        <v>149940</v>
      </c>
      <c r="P30" s="121">
        <f t="shared" si="8"/>
        <v>149940</v>
      </c>
      <c r="Q30" s="137">
        <v>10924</v>
      </c>
      <c r="R30" s="138">
        <v>150.99</v>
      </c>
      <c r="S30" s="306">
        <v>160.41999999999999</v>
      </c>
      <c r="T30" s="308">
        <f t="shared" si="9"/>
        <v>11606.2525995099</v>
      </c>
      <c r="U30" s="309">
        <f t="shared" si="10"/>
        <v>2205</v>
      </c>
      <c r="V30" s="139">
        <f t="shared" si="11"/>
        <v>13811</v>
      </c>
      <c r="W30" s="344">
        <f t="shared" si="12"/>
        <v>13811</v>
      </c>
      <c r="X30" s="57">
        <f t="shared" si="13"/>
        <v>90466.666666666672</v>
      </c>
      <c r="Y30" s="117">
        <f t="shared" si="16"/>
        <v>17189</v>
      </c>
      <c r="Z30" s="117">
        <f t="shared" si="17"/>
        <v>107656</v>
      </c>
      <c r="AA30" s="117">
        <f t="shared" si="18"/>
        <v>107656</v>
      </c>
      <c r="AB30" s="82">
        <f t="shared" si="19"/>
        <v>35302.313427498404</v>
      </c>
      <c r="AC30" s="50">
        <f t="shared" si="20"/>
        <v>0.39022454046608401</v>
      </c>
      <c r="AE30" s="57">
        <f>GEOMEAN(E30,I30,M30)</f>
        <v>85646.102920148536</v>
      </c>
      <c r="AF30" s="117">
        <f t="shared" si="14"/>
        <v>16273</v>
      </c>
      <c r="AG30" s="117">
        <f t="shared" si="15"/>
        <v>101919</v>
      </c>
      <c r="AH30" s="188">
        <f t="shared" si="21"/>
        <v>101919</v>
      </c>
      <c r="AI30" s="351">
        <f>STDEV(E30,I30,M30)</f>
        <v>35302.313427498404</v>
      </c>
      <c r="AK30" s="172"/>
      <c r="AL30" s="173"/>
      <c r="AM30" s="160"/>
      <c r="AN30" s="173"/>
      <c r="AO30" s="173"/>
      <c r="AP30" s="161"/>
      <c r="AQ30" s="161"/>
      <c r="AR30" s="161"/>
      <c r="AS30" s="161"/>
      <c r="AT30" s="175"/>
      <c r="AU30" s="162"/>
    </row>
    <row r="31" spans="1:47" ht="36" customHeight="1" x14ac:dyDescent="0.2">
      <c r="A31" s="111">
        <v>13</v>
      </c>
      <c r="B31" s="134" t="s">
        <v>62</v>
      </c>
      <c r="C31" s="113" t="s">
        <v>53</v>
      </c>
      <c r="D31" s="135">
        <v>1</v>
      </c>
      <c r="E31" s="53">
        <v>55400</v>
      </c>
      <c r="F31" s="117">
        <f t="shared" si="0"/>
        <v>10526</v>
      </c>
      <c r="G31" s="117">
        <f t="shared" si="1"/>
        <v>65926</v>
      </c>
      <c r="H31" s="136">
        <f t="shared" si="2"/>
        <v>65926</v>
      </c>
      <c r="I31" s="75">
        <v>85000</v>
      </c>
      <c r="J31" s="117">
        <f t="shared" si="3"/>
        <v>16150</v>
      </c>
      <c r="K31" s="117">
        <f t="shared" si="4"/>
        <v>101150</v>
      </c>
      <c r="L31" s="121">
        <f t="shared" si="5"/>
        <v>101150</v>
      </c>
      <c r="M31" s="53">
        <v>141000</v>
      </c>
      <c r="N31" s="117">
        <f t="shared" si="6"/>
        <v>26790</v>
      </c>
      <c r="O31" s="117">
        <f t="shared" si="7"/>
        <v>167790</v>
      </c>
      <c r="P31" s="121">
        <f t="shared" si="8"/>
        <v>167790</v>
      </c>
      <c r="Q31" s="137">
        <v>10924</v>
      </c>
      <c r="R31" s="138">
        <v>150.99</v>
      </c>
      <c r="S31" s="306">
        <v>160.41999999999999</v>
      </c>
      <c r="T31" s="308">
        <f t="shared" si="9"/>
        <v>11606.2525995099</v>
      </c>
      <c r="U31" s="309">
        <f t="shared" si="10"/>
        <v>2205</v>
      </c>
      <c r="V31" s="139">
        <f t="shared" si="11"/>
        <v>13811</v>
      </c>
      <c r="W31" s="344">
        <f t="shared" si="12"/>
        <v>13811</v>
      </c>
      <c r="X31" s="57">
        <f t="shared" si="13"/>
        <v>93800</v>
      </c>
      <c r="Y31" s="117">
        <f t="shared" si="16"/>
        <v>17822</v>
      </c>
      <c r="Z31" s="117">
        <f t="shared" si="17"/>
        <v>111622</v>
      </c>
      <c r="AA31" s="117">
        <f t="shared" si="18"/>
        <v>111622</v>
      </c>
      <c r="AB31" s="82">
        <f t="shared" si="19"/>
        <v>43473.21014141928</v>
      </c>
      <c r="AC31" s="50">
        <f t="shared" si="20"/>
        <v>0.46346705907696462</v>
      </c>
      <c r="AE31" s="57">
        <f>GEOMEAN(E31,I31,M31)</f>
        <v>87240.055735369213</v>
      </c>
      <c r="AF31" s="117">
        <f t="shared" si="14"/>
        <v>16576</v>
      </c>
      <c r="AG31" s="117">
        <f t="shared" si="15"/>
        <v>103816</v>
      </c>
      <c r="AH31" s="188">
        <f t="shared" si="21"/>
        <v>103816</v>
      </c>
      <c r="AI31" s="351">
        <f>STDEV(E31,I31,M31)</f>
        <v>43473.21014141928</v>
      </c>
      <c r="AK31" s="172"/>
      <c r="AL31" s="173"/>
      <c r="AM31" s="160"/>
      <c r="AN31" s="173"/>
      <c r="AO31" s="173"/>
      <c r="AP31" s="161"/>
      <c r="AQ31" s="161"/>
      <c r="AR31" s="161"/>
      <c r="AS31" s="161"/>
      <c r="AT31" s="175"/>
      <c r="AU31" s="162"/>
    </row>
    <row r="32" spans="1:47" s="182" customFormat="1" ht="36" customHeight="1" x14ac:dyDescent="0.2">
      <c r="A32" s="193">
        <v>14</v>
      </c>
      <c r="B32" s="194" t="s">
        <v>63</v>
      </c>
      <c r="C32" s="195" t="s">
        <v>53</v>
      </c>
      <c r="D32" s="196">
        <v>1</v>
      </c>
      <c r="E32" s="197">
        <v>52450</v>
      </c>
      <c r="F32" s="198">
        <f t="shared" si="0"/>
        <v>9966</v>
      </c>
      <c r="G32" s="198">
        <f t="shared" si="1"/>
        <v>62416</v>
      </c>
      <c r="H32" s="199">
        <f t="shared" si="2"/>
        <v>62416</v>
      </c>
      <c r="I32" s="200">
        <v>65000</v>
      </c>
      <c r="J32" s="198">
        <f t="shared" si="3"/>
        <v>12350</v>
      </c>
      <c r="K32" s="198">
        <f t="shared" si="4"/>
        <v>77350</v>
      </c>
      <c r="L32" s="201">
        <f t="shared" si="5"/>
        <v>77350</v>
      </c>
      <c r="M32" s="197">
        <v>355500</v>
      </c>
      <c r="N32" s="198">
        <f t="shared" si="6"/>
        <v>67545</v>
      </c>
      <c r="O32" s="198">
        <f t="shared" si="7"/>
        <v>423045</v>
      </c>
      <c r="P32" s="201">
        <f t="shared" si="8"/>
        <v>423045</v>
      </c>
      <c r="Q32" s="202">
        <v>126050</v>
      </c>
      <c r="R32" s="203">
        <v>150.99</v>
      </c>
      <c r="S32" s="307">
        <v>160.41999999999999</v>
      </c>
      <c r="T32" s="308">
        <f t="shared" si="9"/>
        <v>133922.38558844957</v>
      </c>
      <c r="U32" s="310">
        <f t="shared" si="10"/>
        <v>25445</v>
      </c>
      <c r="V32" s="206">
        <f t="shared" si="11"/>
        <v>159367</v>
      </c>
      <c r="W32" s="345">
        <f t="shared" si="12"/>
        <v>159367</v>
      </c>
      <c r="X32" s="208">
        <f t="shared" si="13"/>
        <v>157650</v>
      </c>
      <c r="Y32" s="198">
        <f t="shared" si="16"/>
        <v>29954</v>
      </c>
      <c r="Z32" s="198">
        <f t="shared" si="17"/>
        <v>187604</v>
      </c>
      <c r="AA32" s="198">
        <f t="shared" si="18"/>
        <v>187604</v>
      </c>
      <c r="AB32" s="209">
        <f t="shared" si="19"/>
        <v>171457.99048163372</v>
      </c>
      <c r="AC32" s="210">
        <f t="shared" si="20"/>
        <v>1.0875863652498174</v>
      </c>
      <c r="AE32" s="208">
        <f>IF(AND(AC32&gt;30%,AC32&lt;=60%),GEOMEAN(E32,I32,M32),IF(AC32&lt;=30%,AVERAGE(E32,I32,M32),AT32))</f>
        <v>83790.795196149862</v>
      </c>
      <c r="AF32" s="198">
        <f t="shared" si="14"/>
        <v>15920</v>
      </c>
      <c r="AG32" s="198">
        <f t="shared" si="15"/>
        <v>99711</v>
      </c>
      <c r="AH32" s="211">
        <f t="shared" si="21"/>
        <v>99711</v>
      </c>
      <c r="AI32" s="352">
        <v>0</v>
      </c>
      <c r="AK32" s="212">
        <f>AVERAGE(E32,I32,M32,T32)</f>
        <v>151718.09639711239</v>
      </c>
      <c r="AL32" s="213">
        <f>STDEV(E32,I32,M32,T32)</f>
        <v>140496.66041611976</v>
      </c>
      <c r="AM32" s="214">
        <f t="shared" si="22"/>
        <v>0.92603759045578038</v>
      </c>
      <c r="AN32" s="213">
        <f t="shared" si="23"/>
        <v>11221.435980992625</v>
      </c>
      <c r="AO32" s="213">
        <f t="shared" si="24"/>
        <v>292214.75681323215</v>
      </c>
      <c r="AP32" s="215" t="str">
        <f>IF(AM32&gt;60%,IF(AND(ISNUMBER(E32),E32&gt;=AN32,E32&lt;=AO32),"PERMANECE",IF(ISNUMBER(E32),"SE ACOTA","SIN DATO")),"NO APLICA")</f>
        <v>PERMANECE</v>
      </c>
      <c r="AQ32" s="215" t="str">
        <f>IF(AM32&gt;60%,IF(AND(ISNUMBER(I32),I32&gt;=AN32,I32&lt;=AO32),"PERMANECE",IF(ISNUMBER(I32),"SE ACOTA","SIN DATO")),"NO APLICA")</f>
        <v>PERMANECE</v>
      </c>
      <c r="AR32" s="215" t="str">
        <f>IF(AM32&gt;60%,IF(AND(ISNUMBER(M32),M32&gt;=AN32,M32&lt;=AO32),"PERMANECE",IF(ISNUMBER(M32),"SE ACOTA","SIN DATO")),"NO APLICA")</f>
        <v>SE ACOTA</v>
      </c>
      <c r="AS32" s="215" t="str">
        <f>IF(AM32&gt;60%,IF(AND(ISNUMBER(T32),T32&gt;=AN32,T32&lt;=AO32),"PERMANECE",IF(ISNUMBER(T32),"SE ACOTA","SIN DATO")),"NO APLICA")</f>
        <v>PERMANECE</v>
      </c>
      <c r="AT32" s="216">
        <f>IF(AM32&gt;60%,IFERROR((IF(AND(ISNUMBER(E32),E32&gt;=AN32,E32&lt;=AO32),E32,0) + IF(AND(ISNUMBER(I32),I32&gt;=AN32,I32&lt;=AO32),I32,0) + IF(AND(ISNUMBER(M32),M32&gt;=AN32,M32&lt;=AO32),M32,0) + IF(AND(ISNUMBER(T32),T32&gt;=AN32,T32&lt;=AO32),T32,0))/(--AND(ISNUMBER(E32),E32&gt;=AN32,E32&lt;=AO32) + --AND(ISNUMBER(I32),I32&gt;=AN32,I32&lt;=AO32) + --AND(ISNUMBER(M32),M32&gt;=AN32,M32&lt;=AO32) + --AND(ISNUMBER(T32),T32&gt;=AN32,T32&lt;=AO32)),""),AVERAGE(E32,I32,M32,T32))</f>
        <v>83790.795196149862</v>
      </c>
      <c r="AU32" s="217">
        <f>IF(AM32&gt;60%,IF((--AND(ISNUMBER(E32),E32&gt;=AN32,E32&lt;=AO32) + --AND(ISNUMBER(I32),I32&gt;=AN32,I32&lt;=AO32) + --AND(ISNUMBER(M32),M32&gt;=AN32,M32&lt;=AO32) + --AND(ISNUMBER(T32),T32&gt;=AN32,T32&lt;=AO32))&gt;=2,SQRT((IF(AND(ISNUMBER(E32),E32&gt;=AN32,E32&lt;=AO32),(E32-AT32)^2,0) + IF(AND(ISNUMBER(I32),I32&gt;=AN32,I32&lt;=AO32),(I32-AT32)^2,0) + IF(AND(ISNUMBER(M32),M32&gt;=AN32,M32&lt;=AO32),(M32-AT32)^2,0) + IF(AND(ISNUMBER(T32),T32&gt;=AN32,T32&lt;=AO32),(T32-AT32)^2,0))/((--AND(ISNUMBER(E32),E32&gt;=AN32,E32&lt;=AO32) + --AND(ISNUMBER(I32),I32&gt;=AN32,I32&lt;=AO32) + --AND(ISNUMBER(M32),M32&gt;=AN32,M32&lt;=AO32) + --AND(ISNUMBER(T32),T32&gt;=AN32,T32&lt;=AO32))-1))/AT32,""),AM32)</f>
        <v>0.5235224693497208</v>
      </c>
    </row>
    <row r="33" spans="1:47" s="182" customFormat="1" ht="36" customHeight="1" x14ac:dyDescent="0.2">
      <c r="A33" s="218">
        <v>15</v>
      </c>
      <c r="B33" s="219" t="s">
        <v>64</v>
      </c>
      <c r="C33" s="220" t="s">
        <v>53</v>
      </c>
      <c r="D33" s="196">
        <v>1</v>
      </c>
      <c r="E33" s="197">
        <v>26250</v>
      </c>
      <c r="F33" s="198">
        <f t="shared" si="0"/>
        <v>4988</v>
      </c>
      <c r="G33" s="198">
        <f t="shared" si="1"/>
        <v>31238</v>
      </c>
      <c r="H33" s="199">
        <f t="shared" si="2"/>
        <v>31238</v>
      </c>
      <c r="I33" s="200">
        <v>65000</v>
      </c>
      <c r="J33" s="198">
        <f t="shared" si="3"/>
        <v>12350</v>
      </c>
      <c r="K33" s="198">
        <f t="shared" si="4"/>
        <v>77350</v>
      </c>
      <c r="L33" s="201">
        <f t="shared" si="5"/>
        <v>77350</v>
      </c>
      <c r="M33" s="197">
        <v>280500</v>
      </c>
      <c r="N33" s="198">
        <f t="shared" si="6"/>
        <v>53295</v>
      </c>
      <c r="O33" s="198">
        <f t="shared" si="7"/>
        <v>333795</v>
      </c>
      <c r="P33" s="201">
        <f t="shared" si="8"/>
        <v>333795</v>
      </c>
      <c r="Q33" s="202">
        <v>33613</v>
      </c>
      <c r="R33" s="203">
        <v>150.99</v>
      </c>
      <c r="S33" s="307">
        <v>160.41999999999999</v>
      </c>
      <c r="T33" s="308">
        <f t="shared" si="9"/>
        <v>35712.282005430818</v>
      </c>
      <c r="U33" s="310">
        <f t="shared" si="10"/>
        <v>6785</v>
      </c>
      <c r="V33" s="206">
        <f t="shared" si="11"/>
        <v>42497</v>
      </c>
      <c r="W33" s="345">
        <f t="shared" si="12"/>
        <v>42497</v>
      </c>
      <c r="X33" s="208">
        <f t="shared" si="13"/>
        <v>123916.66666666667</v>
      </c>
      <c r="Y33" s="198">
        <f t="shared" si="16"/>
        <v>23544</v>
      </c>
      <c r="Z33" s="198">
        <f t="shared" si="17"/>
        <v>147461</v>
      </c>
      <c r="AA33" s="198">
        <f t="shared" si="18"/>
        <v>147461</v>
      </c>
      <c r="AB33" s="209">
        <f t="shared" si="19"/>
        <v>136982.28291765813</v>
      </c>
      <c r="AC33" s="210">
        <f t="shared" si="20"/>
        <v>1.1054387323550083</v>
      </c>
      <c r="AE33" s="208">
        <f>IF(AND(AC33&gt;30%,AC33&lt;=60%),GEOMEAN(E33,I33,M33),IF(AC33&lt;=30%,AVERAGE(E33,I33,M33),AT33))</f>
        <v>42320.760668476934</v>
      </c>
      <c r="AF33" s="198">
        <f t="shared" si="14"/>
        <v>8041</v>
      </c>
      <c r="AG33" s="198">
        <f t="shared" si="15"/>
        <v>50362</v>
      </c>
      <c r="AH33" s="211">
        <f t="shared" si="21"/>
        <v>50362</v>
      </c>
      <c r="AI33" s="352">
        <v>0</v>
      </c>
      <c r="AK33" s="212">
        <f>AVERAGE(E33,I33,M33,T33)</f>
        <v>101865.57050135771</v>
      </c>
      <c r="AL33" s="213">
        <f>STDEV(E33,I33,M33,T33)</f>
        <v>120226.59407935654</v>
      </c>
      <c r="AM33" s="214">
        <f t="shared" si="22"/>
        <v>1.1802475899131601</v>
      </c>
      <c r="AN33" s="213">
        <f t="shared" si="23"/>
        <v>-18361.023577998829</v>
      </c>
      <c r="AO33" s="213">
        <f t="shared" si="24"/>
        <v>222092.16458071425</v>
      </c>
      <c r="AP33" s="215" t="str">
        <f>IF(AM33&gt;60%,IF(AND(ISNUMBER(E33),E33&gt;=AN33,E33&lt;=AO33),"PERMANECE",IF(ISNUMBER(E33),"SE ACOTA","SIN DATO")),"NO APLICA")</f>
        <v>PERMANECE</v>
      </c>
      <c r="AQ33" s="215" t="str">
        <f>IF(AM33&gt;60%,IF(AND(ISNUMBER(I33),I33&gt;=AN33,I33&lt;=AO33),"PERMANECE",IF(ISNUMBER(I33),"SE ACOTA","SIN DATO")),"NO APLICA")</f>
        <v>PERMANECE</v>
      </c>
      <c r="AR33" s="215" t="str">
        <f>IF(AM33&gt;60%,IF(AND(ISNUMBER(M33),M33&gt;=AN33,M33&lt;=AO33),"PERMANECE",IF(ISNUMBER(M33),"SE ACOTA","SIN DATO")),"NO APLICA")</f>
        <v>SE ACOTA</v>
      </c>
      <c r="AS33" s="215" t="str">
        <f>IF(AM33&gt;60%,IF(AND(ISNUMBER(T33),T33&gt;=AN33,T33&lt;=AO33),"PERMANECE",IF(ISNUMBER(T33),"SE ACOTA","SIN DATO")),"NO APLICA")</f>
        <v>PERMANECE</v>
      </c>
      <c r="AT33" s="216">
        <f>IF(AM33&gt;60%,IFERROR((IF(AND(ISNUMBER(E33),E33&gt;=AN33,E33&lt;=AO33),E33,0) + IF(AND(ISNUMBER(I33),I33&gt;=AN33,I33&lt;=AO33),I33,0) + IF(AND(ISNUMBER(M33),M33&gt;=AN33,M33&lt;=AO33),M33,0) + IF(AND(ISNUMBER(T33),T33&gt;=AN33,T33&lt;=AO33),T33,0))/(--AND(ISNUMBER(E33),E33&gt;=AN33,E33&lt;=AO33) + --AND(ISNUMBER(I33),I33&gt;=AN33,I33&lt;=AO33) + --AND(ISNUMBER(M33),M33&gt;=AN33,M33&lt;=AO33) + --AND(ISNUMBER(T33),T33&gt;=AN33,T33&lt;=AO33)),""),AVERAGE(E33,I33,M33,T33))</f>
        <v>42320.760668476934</v>
      </c>
      <c r="AU33" s="217">
        <f>IF(AM33&gt;60%,IF((--AND(ISNUMBER(E33),E33&gt;=AN33,E33&lt;=AO33) + --AND(ISNUMBER(I33),I33&gt;=AN33,I33&lt;=AO33) + --AND(ISNUMBER(M33),M33&gt;=AN33,M33&lt;=AO33) + --AND(ISNUMBER(T33),T33&gt;=AN33,T33&lt;=AO33))&gt;=2,SQRT((IF(AND(ISNUMBER(E33),E33&gt;=AN33,E33&lt;=AO33),(E33-AT33)^2,0) + IF(AND(ISNUMBER(I33),I33&gt;=AN33,I33&lt;=AO33),(I33-AT33)^2,0) + IF(AND(ISNUMBER(M33),M33&gt;=AN33,M33&lt;=AO33),(M33-AT33)^2,0) + IF(AND(ISNUMBER(T33),T33&gt;=AN33,T33&lt;=AO33),(T33-AT33)^2,0))/((--AND(ISNUMBER(E33),E33&gt;=AN33,E33&lt;=AO33) + --AND(ISNUMBER(I33),I33&gt;=AN33,I33&lt;=AO33) + --AND(ISNUMBER(M33),M33&gt;=AN33,M33&lt;=AO33) + --AND(ISNUMBER(T33),T33&gt;=AN33,T33&lt;=AO33))-1))/AT33,""),AM33)</f>
        <v>0.47736829540540154</v>
      </c>
    </row>
    <row r="34" spans="1:47" s="182" customFormat="1" ht="36" customHeight="1" x14ac:dyDescent="0.2">
      <c r="A34" s="193">
        <v>16</v>
      </c>
      <c r="B34" s="221" t="s">
        <v>65</v>
      </c>
      <c r="C34" s="195" t="s">
        <v>53</v>
      </c>
      <c r="D34" s="196">
        <v>1</v>
      </c>
      <c r="E34" s="197">
        <v>13200</v>
      </c>
      <c r="F34" s="198">
        <f t="shared" si="0"/>
        <v>2508</v>
      </c>
      <c r="G34" s="198">
        <f t="shared" si="1"/>
        <v>15708</v>
      </c>
      <c r="H34" s="199">
        <f t="shared" si="2"/>
        <v>15708</v>
      </c>
      <c r="I34" s="200">
        <v>55000</v>
      </c>
      <c r="J34" s="198">
        <f t="shared" si="3"/>
        <v>10450</v>
      </c>
      <c r="K34" s="198">
        <f t="shared" si="4"/>
        <v>65450</v>
      </c>
      <c r="L34" s="201">
        <f t="shared" si="5"/>
        <v>65450</v>
      </c>
      <c r="M34" s="197">
        <v>205500</v>
      </c>
      <c r="N34" s="198">
        <f t="shared" si="6"/>
        <v>39045</v>
      </c>
      <c r="O34" s="198">
        <f t="shared" si="7"/>
        <v>244545</v>
      </c>
      <c r="P34" s="201">
        <f t="shared" si="8"/>
        <v>244545</v>
      </c>
      <c r="Q34" s="202">
        <v>25210</v>
      </c>
      <c r="R34" s="203">
        <v>150.99</v>
      </c>
      <c r="S34" s="307">
        <v>160.41999999999999</v>
      </c>
      <c r="T34" s="308">
        <f t="shared" si="9"/>
        <v>26784.477117689908</v>
      </c>
      <c r="U34" s="310">
        <f t="shared" si="10"/>
        <v>5089</v>
      </c>
      <c r="V34" s="206">
        <f t="shared" si="11"/>
        <v>31873</v>
      </c>
      <c r="W34" s="345">
        <f t="shared" si="12"/>
        <v>31873</v>
      </c>
      <c r="X34" s="208">
        <f t="shared" si="13"/>
        <v>91233.333333333328</v>
      </c>
      <c r="Y34" s="198">
        <f t="shared" si="16"/>
        <v>17334</v>
      </c>
      <c r="Z34" s="198">
        <f t="shared" si="17"/>
        <v>108567</v>
      </c>
      <c r="AA34" s="198">
        <f t="shared" si="18"/>
        <v>108567</v>
      </c>
      <c r="AB34" s="209">
        <f t="shared" si="19"/>
        <v>101140.80943582236</v>
      </c>
      <c r="AC34" s="210">
        <f t="shared" si="20"/>
        <v>1.1085949152629415</v>
      </c>
      <c r="AE34" s="208">
        <f>IF(AND(AC34&gt;30%,AC34&lt;=60%),GEOMEAN(E34,I34,M34),IF(AC34&lt;=30%,AVERAGE(E34,I34,M34),AT34))</f>
        <v>31661.492372563302</v>
      </c>
      <c r="AF34" s="198">
        <f t="shared" si="14"/>
        <v>6016</v>
      </c>
      <c r="AG34" s="198">
        <f t="shared" si="15"/>
        <v>37677</v>
      </c>
      <c r="AH34" s="211">
        <f t="shared" si="21"/>
        <v>37677</v>
      </c>
      <c r="AI34" s="352">
        <v>0</v>
      </c>
      <c r="AK34" s="212">
        <f>AVERAGE(E34,I34,M34,T34)</f>
        <v>75121.119279422477</v>
      </c>
      <c r="AL34" s="213">
        <f>STDEV(E34,I34,M34,T34)</f>
        <v>88645.67665204205</v>
      </c>
      <c r="AM34" s="214">
        <f t="shared" si="22"/>
        <v>1.1800366861190297</v>
      </c>
      <c r="AN34" s="213">
        <f t="shared" si="23"/>
        <v>-13524.557372619573</v>
      </c>
      <c r="AO34" s="213">
        <f t="shared" si="24"/>
        <v>163766.79593146453</v>
      </c>
      <c r="AP34" s="215" t="str">
        <f>IF(AM34&gt;60%,IF(AND(ISNUMBER(E34),E34&gt;=AN34,E34&lt;=AO34),"PERMANECE",IF(ISNUMBER(E34),"SE ACOTA","SIN DATO")),"NO APLICA")</f>
        <v>PERMANECE</v>
      </c>
      <c r="AQ34" s="215" t="str">
        <f>IF(AM34&gt;60%,IF(AND(ISNUMBER(I34),I34&gt;=AN34,I34&lt;=AO34),"PERMANECE",IF(ISNUMBER(I34),"SE ACOTA","SIN DATO")),"NO APLICA")</f>
        <v>PERMANECE</v>
      </c>
      <c r="AR34" s="215" t="str">
        <f>IF(AM34&gt;60%,IF(AND(ISNUMBER(M34),M34&gt;=AN34,M34&lt;=AO34),"PERMANECE",IF(ISNUMBER(M34),"SE ACOTA","SIN DATO")),"NO APLICA")</f>
        <v>SE ACOTA</v>
      </c>
      <c r="AS34" s="215" t="str">
        <f>IF(AM34&gt;60%,IF(AND(ISNUMBER(T34),T34&gt;=AN34,T34&lt;=AO34),"PERMANECE",IF(ISNUMBER(T34),"SE ACOTA","SIN DATO")),"NO APLICA")</f>
        <v>PERMANECE</v>
      </c>
      <c r="AT34" s="216">
        <f>IF(AM34&gt;60%,IFERROR((IF(AND(ISNUMBER(E34),E34&gt;=AN34,E34&lt;=AO34),E34,0) + IF(AND(ISNUMBER(I34),I34&gt;=AN34,I34&lt;=AO34),I34,0) + IF(AND(ISNUMBER(M34),M34&gt;=AN34,M34&lt;=AO34),M34,0) + IF(AND(ISNUMBER(T34),T34&gt;=AN34,T34&lt;=AO34),T34,0))/(--AND(ISNUMBER(E34),E34&gt;=AN34,E34&lt;=AO34) + --AND(ISNUMBER(I34),I34&gt;=AN34,I34&lt;=AO34) + --AND(ISNUMBER(M34),M34&gt;=AN34,M34&lt;=AO34) + --AND(ISNUMBER(T34),T34&gt;=AN34,T34&lt;=AO34)),""),AVERAGE(E34,I34,M34,T34))</f>
        <v>31661.492372563302</v>
      </c>
      <c r="AU34" s="217">
        <f>IF(AM34&gt;60%,IF((--AND(ISNUMBER(E34),E34&gt;=AN34,E34&lt;=AO34) + --AND(ISNUMBER(I34),I34&gt;=AN34,I34&lt;=AO34) + --AND(ISNUMBER(M34),M34&gt;=AN34,M34&lt;=AO34) + --AND(ISNUMBER(T34),T34&gt;=AN34,T34&lt;=AO34))&gt;=2,SQRT((IF(AND(ISNUMBER(E34),E34&gt;=AN34,E34&lt;=AO34),(E34-AT34)^2,0) + IF(AND(ISNUMBER(I34),I34&gt;=AN34,I34&lt;=AO34),(I34-AT34)^2,0) + IF(AND(ISNUMBER(M34),M34&gt;=AN34,M34&lt;=AO34),(M34-AT34)^2,0) + IF(AND(ISNUMBER(T34),T34&gt;=AN34,T34&lt;=AO34),(T34-AT34)^2,0))/((--AND(ISNUMBER(E34),E34&gt;=AN34,E34&lt;=AO34) + --AND(ISNUMBER(I34),I34&gt;=AN34,I34&lt;=AO34) + --AND(ISNUMBER(M34),M34&gt;=AN34,M34&lt;=AO34) + --AND(ISNUMBER(T34),T34&gt;=AN34,T34&lt;=AO34))-1))/AT34,""),AM34)</f>
        <v>0.67345211103141167</v>
      </c>
    </row>
    <row r="35" spans="1:47" s="182" customFormat="1" ht="37.5" customHeight="1" x14ac:dyDescent="0.2">
      <c r="A35" s="193">
        <v>17</v>
      </c>
      <c r="B35" s="221" t="s">
        <v>66</v>
      </c>
      <c r="C35" s="195" t="s">
        <v>53</v>
      </c>
      <c r="D35" s="196">
        <v>1</v>
      </c>
      <c r="E35" s="197">
        <v>13200</v>
      </c>
      <c r="F35" s="222">
        <f t="shared" si="0"/>
        <v>2508</v>
      </c>
      <c r="G35" s="222">
        <f t="shared" si="1"/>
        <v>15708</v>
      </c>
      <c r="H35" s="223">
        <f t="shared" si="2"/>
        <v>15708</v>
      </c>
      <c r="I35" s="200">
        <v>55000</v>
      </c>
      <c r="J35" s="198">
        <f t="shared" si="3"/>
        <v>10450</v>
      </c>
      <c r="K35" s="198">
        <f t="shared" si="4"/>
        <v>65450</v>
      </c>
      <c r="L35" s="201">
        <f t="shared" si="5"/>
        <v>65450</v>
      </c>
      <c r="M35" s="197">
        <v>235500</v>
      </c>
      <c r="N35" s="198">
        <f t="shared" si="6"/>
        <v>44745</v>
      </c>
      <c r="O35" s="198">
        <f t="shared" si="7"/>
        <v>280245</v>
      </c>
      <c r="P35" s="201">
        <f t="shared" si="8"/>
        <v>280245</v>
      </c>
      <c r="Q35" s="202">
        <v>25210</v>
      </c>
      <c r="R35" s="203">
        <v>150.99</v>
      </c>
      <c r="S35" s="307">
        <v>160.41999999999999</v>
      </c>
      <c r="T35" s="308">
        <f t="shared" si="9"/>
        <v>26784.477117689908</v>
      </c>
      <c r="U35" s="310">
        <f t="shared" si="10"/>
        <v>5089</v>
      </c>
      <c r="V35" s="206">
        <f t="shared" si="11"/>
        <v>31873</v>
      </c>
      <c r="W35" s="345">
        <f t="shared" si="12"/>
        <v>31873</v>
      </c>
      <c r="X35" s="208">
        <f t="shared" si="13"/>
        <v>101233.33333333333</v>
      </c>
      <c r="Y35" s="198">
        <f t="shared" si="16"/>
        <v>19234</v>
      </c>
      <c r="Z35" s="198">
        <f t="shared" si="17"/>
        <v>120467</v>
      </c>
      <c r="AA35" s="198">
        <f t="shared" si="18"/>
        <v>120467</v>
      </c>
      <c r="AB35" s="209">
        <f t="shared" si="19"/>
        <v>118141.70869482688</v>
      </c>
      <c r="AC35" s="210">
        <f t="shared" si="20"/>
        <v>1.1670237934951619</v>
      </c>
      <c r="AE35" s="208">
        <f>IF(AND(AC35&gt;30%,AC35&lt;=60%),GEOMEAN(E35,I35,M35),IF(AC35&lt;=30%,AVERAGE(E35,I35,M35),AT35))</f>
        <v>31661.492372563302</v>
      </c>
      <c r="AF35" s="198">
        <f t="shared" si="14"/>
        <v>6016</v>
      </c>
      <c r="AG35" s="198">
        <f t="shared" si="15"/>
        <v>37677</v>
      </c>
      <c r="AH35" s="211">
        <f t="shared" si="21"/>
        <v>37677</v>
      </c>
      <c r="AI35" s="352">
        <v>0</v>
      </c>
      <c r="AK35" s="212">
        <f>AVERAGE(E35,I35,M35,T35)</f>
        <v>82621.119279422477</v>
      </c>
      <c r="AL35" s="213">
        <f>STDEV(E35,I35,M35,T35)</f>
        <v>103395.52022940811</v>
      </c>
      <c r="AM35" s="214">
        <f t="shared" si="22"/>
        <v>1.2514417757973859</v>
      </c>
      <c r="AN35" s="213">
        <f t="shared" si="23"/>
        <v>-20774.400949985633</v>
      </c>
      <c r="AO35" s="213">
        <f t="shared" si="24"/>
        <v>186016.63950883059</v>
      </c>
      <c r="AP35" s="215" t="str">
        <f>IF(AM35&gt;60%,IF(AND(ISNUMBER(E35),E35&gt;=AN35,E35&lt;=AO35),"PERMANECE",IF(ISNUMBER(E35),"SE ACOTA","SIN DATO")),"NO APLICA")</f>
        <v>PERMANECE</v>
      </c>
      <c r="AQ35" s="215" t="str">
        <f>IF(AM35&gt;60%,IF(AND(ISNUMBER(I35),I35&gt;=AN35,I35&lt;=AO35),"PERMANECE",IF(ISNUMBER(I35),"SE ACOTA","SIN DATO")),"NO APLICA")</f>
        <v>PERMANECE</v>
      </c>
      <c r="AR35" s="215" t="str">
        <f>IF(AM35&gt;60%,IF(AND(ISNUMBER(M35),M35&gt;=AN35,M35&lt;=AO35),"PERMANECE",IF(ISNUMBER(M35),"SE ACOTA","SIN DATO")),"NO APLICA")</f>
        <v>SE ACOTA</v>
      </c>
      <c r="AS35" s="215" t="str">
        <f>IF(AM35&gt;60%,IF(AND(ISNUMBER(T35),T35&gt;=AN35,T35&lt;=AO35),"PERMANECE",IF(ISNUMBER(T35),"SE ACOTA","SIN DATO")),"NO APLICA")</f>
        <v>PERMANECE</v>
      </c>
      <c r="AT35" s="216">
        <f>IF(AM35&gt;60%,IFERROR((IF(AND(ISNUMBER(E35),E35&gt;=AN35,E35&lt;=AO35),E35,0) + IF(AND(ISNUMBER(I35),I35&gt;=AN35,I35&lt;=AO35),I35,0) + IF(AND(ISNUMBER(M35),M35&gt;=AN35,M35&lt;=AO35),M35,0) + IF(AND(ISNUMBER(T35),T35&gt;=AN35,T35&lt;=AO35),T35,0))/(--AND(ISNUMBER(E35),E35&gt;=AN35,E35&lt;=AO35) + --AND(ISNUMBER(I35),I35&gt;=AN35,I35&lt;=AO35) + --AND(ISNUMBER(M35),M35&gt;=AN35,M35&lt;=AO35) + --AND(ISNUMBER(T35),T35&gt;=AN35,T35&lt;=AO35)),""),AVERAGE(E35,I35,M35,T35))</f>
        <v>31661.492372563302</v>
      </c>
      <c r="AU35" s="217">
        <f>IF(AM35&gt;60%,IF((--AND(ISNUMBER(E35),E35&gt;=AN35,E35&lt;=AO35) + --AND(ISNUMBER(I35),I35&gt;=AN35,I35&lt;=AO35) + --AND(ISNUMBER(M35),M35&gt;=AN35,M35&lt;=AO35) + --AND(ISNUMBER(T35),T35&gt;=AN35,T35&lt;=AO35))&gt;=2,SQRT((IF(AND(ISNUMBER(E35),E35&gt;=AN35,E35&lt;=AO35),(E35-AT35)^2,0) + IF(AND(ISNUMBER(I35),I35&gt;=AN35,I35&lt;=AO35),(I35-AT35)^2,0) + IF(AND(ISNUMBER(M35),M35&gt;=AN35,M35&lt;=AO35),(M35-AT35)^2,0) + IF(AND(ISNUMBER(T35),T35&gt;=AN35,T35&lt;=AO35),(T35-AT35)^2,0))/((--AND(ISNUMBER(E35),E35&gt;=AN35,E35&lt;=AO35) + --AND(ISNUMBER(I35),I35&gt;=AN35,I35&lt;=AO35) + --AND(ISNUMBER(M35),M35&gt;=AN35,M35&lt;=AO35) + --AND(ISNUMBER(T35),T35&gt;=AN35,T35&lt;=AO35))-1))/AT35,""),AM35)</f>
        <v>0.67345211103141167</v>
      </c>
    </row>
    <row r="36" spans="1:47" ht="48.75" customHeight="1" x14ac:dyDescent="0.2">
      <c r="A36" s="111">
        <v>18</v>
      </c>
      <c r="B36" s="16" t="s">
        <v>67</v>
      </c>
      <c r="C36" s="113" t="s">
        <v>49</v>
      </c>
      <c r="D36" s="135">
        <v>1</v>
      </c>
      <c r="E36" s="53">
        <v>457600</v>
      </c>
      <c r="F36" s="117">
        <f t="shared" si="0"/>
        <v>86944</v>
      </c>
      <c r="G36" s="117">
        <f t="shared" si="1"/>
        <v>544544</v>
      </c>
      <c r="H36" s="136">
        <f t="shared" si="2"/>
        <v>544544</v>
      </c>
      <c r="I36" s="76">
        <v>200000</v>
      </c>
      <c r="J36" s="117">
        <f t="shared" si="3"/>
        <v>38000</v>
      </c>
      <c r="K36" s="117">
        <f t="shared" si="4"/>
        <v>238000</v>
      </c>
      <c r="L36" s="121">
        <f t="shared" si="5"/>
        <v>238000</v>
      </c>
      <c r="M36" s="53">
        <v>297750</v>
      </c>
      <c r="N36" s="117">
        <f t="shared" si="6"/>
        <v>56573</v>
      </c>
      <c r="O36" s="117">
        <f t="shared" si="7"/>
        <v>354323</v>
      </c>
      <c r="P36" s="121">
        <f t="shared" si="8"/>
        <v>354323</v>
      </c>
      <c r="Q36" s="137">
        <v>50420</v>
      </c>
      <c r="R36" s="138">
        <v>150.99</v>
      </c>
      <c r="S36" s="306">
        <v>160.41999999999999</v>
      </c>
      <c r="T36" s="308">
        <f t="shared" si="9"/>
        <v>53568.954235379817</v>
      </c>
      <c r="U36" s="309">
        <f t="shared" si="10"/>
        <v>10178</v>
      </c>
      <c r="V36" s="139">
        <f t="shared" si="11"/>
        <v>63747</v>
      </c>
      <c r="W36" s="344">
        <f t="shared" si="12"/>
        <v>63747</v>
      </c>
      <c r="X36" s="57">
        <f t="shared" si="13"/>
        <v>318450</v>
      </c>
      <c r="Y36" s="117">
        <f t="shared" si="16"/>
        <v>60506</v>
      </c>
      <c r="Z36" s="117">
        <f t="shared" si="17"/>
        <v>378956</v>
      </c>
      <c r="AA36" s="117">
        <f t="shared" si="18"/>
        <v>378956</v>
      </c>
      <c r="AB36" s="82">
        <f t="shared" si="19"/>
        <v>130041.56066427378</v>
      </c>
      <c r="AC36" s="50">
        <f t="shared" si="20"/>
        <v>0.40835786046247069</v>
      </c>
      <c r="AE36" s="57">
        <f t="shared" ref="AE36:AE41" si="25">GEOMEAN(E36,I36,M36)</f>
        <v>300923.37722133868</v>
      </c>
      <c r="AF36" s="117">
        <f t="shared" si="14"/>
        <v>57175</v>
      </c>
      <c r="AG36" s="117">
        <f t="shared" si="15"/>
        <v>358098</v>
      </c>
      <c r="AH36" s="188">
        <f t="shared" si="21"/>
        <v>358098</v>
      </c>
      <c r="AI36" s="351">
        <f t="shared" ref="AI36:AI41" si="26">STDEV(E36,I36,M36)</f>
        <v>130041.56066427378</v>
      </c>
      <c r="AK36" s="172"/>
      <c r="AL36" s="173"/>
      <c r="AM36" s="160"/>
      <c r="AN36" s="173"/>
      <c r="AO36" s="173"/>
      <c r="AP36" s="161"/>
      <c r="AQ36" s="161"/>
      <c r="AR36" s="161"/>
      <c r="AS36" s="161"/>
      <c r="AT36" s="175"/>
      <c r="AU36" s="162"/>
    </row>
    <row r="37" spans="1:47" ht="48" customHeight="1" x14ac:dyDescent="0.2">
      <c r="A37" s="111">
        <v>19</v>
      </c>
      <c r="B37" s="112" t="s">
        <v>68</v>
      </c>
      <c r="C37" s="113" t="s">
        <v>49</v>
      </c>
      <c r="D37" s="135">
        <v>1</v>
      </c>
      <c r="E37" s="53">
        <v>263600</v>
      </c>
      <c r="F37" s="117">
        <f t="shared" si="0"/>
        <v>50084</v>
      </c>
      <c r="G37" s="117">
        <f t="shared" si="1"/>
        <v>313684</v>
      </c>
      <c r="H37" s="136">
        <f t="shared" si="2"/>
        <v>313684</v>
      </c>
      <c r="I37" s="76">
        <v>90000</v>
      </c>
      <c r="J37" s="117">
        <f t="shared" si="3"/>
        <v>17100</v>
      </c>
      <c r="K37" s="117">
        <f t="shared" si="4"/>
        <v>107100</v>
      </c>
      <c r="L37" s="121">
        <f t="shared" si="5"/>
        <v>107100</v>
      </c>
      <c r="M37" s="53">
        <v>202516</v>
      </c>
      <c r="N37" s="117">
        <f t="shared" si="6"/>
        <v>38478</v>
      </c>
      <c r="O37" s="117">
        <f t="shared" si="7"/>
        <v>240994</v>
      </c>
      <c r="P37" s="121">
        <f t="shared" si="8"/>
        <v>240994</v>
      </c>
      <c r="Q37" s="137">
        <v>50420</v>
      </c>
      <c r="R37" s="138">
        <v>150.99</v>
      </c>
      <c r="S37" s="306">
        <v>160.41999999999999</v>
      </c>
      <c r="T37" s="308">
        <f t="shared" si="9"/>
        <v>53568.954235379817</v>
      </c>
      <c r="U37" s="309">
        <f t="shared" si="10"/>
        <v>10178</v>
      </c>
      <c r="V37" s="139">
        <f t="shared" si="11"/>
        <v>63747</v>
      </c>
      <c r="W37" s="344">
        <f t="shared" si="12"/>
        <v>63747</v>
      </c>
      <c r="X37" s="57">
        <f t="shared" si="13"/>
        <v>185372</v>
      </c>
      <c r="Y37" s="117">
        <f t="shared" si="16"/>
        <v>35221</v>
      </c>
      <c r="Z37" s="117">
        <f t="shared" si="17"/>
        <v>220593</v>
      </c>
      <c r="AA37" s="117">
        <f t="shared" si="18"/>
        <v>220593</v>
      </c>
      <c r="AB37" s="82">
        <f t="shared" si="19"/>
        <v>88060.647011023029</v>
      </c>
      <c r="AC37" s="50">
        <f t="shared" si="20"/>
        <v>0.47504826516962123</v>
      </c>
      <c r="AE37" s="57">
        <f t="shared" si="25"/>
        <v>168739.10919673191</v>
      </c>
      <c r="AF37" s="117">
        <f t="shared" si="14"/>
        <v>32060</v>
      </c>
      <c r="AG37" s="117">
        <f t="shared" si="15"/>
        <v>200799</v>
      </c>
      <c r="AH37" s="188">
        <f t="shared" si="21"/>
        <v>200799</v>
      </c>
      <c r="AI37" s="351">
        <f t="shared" si="26"/>
        <v>88060.647011023029</v>
      </c>
      <c r="AK37" s="172"/>
      <c r="AL37" s="173"/>
      <c r="AM37" s="160"/>
      <c r="AN37" s="173"/>
      <c r="AO37" s="173"/>
      <c r="AP37" s="161"/>
      <c r="AQ37" s="161"/>
      <c r="AR37" s="161"/>
      <c r="AS37" s="161"/>
      <c r="AT37" s="175"/>
      <c r="AU37" s="162"/>
    </row>
    <row r="38" spans="1:47" ht="51" customHeight="1" x14ac:dyDescent="0.2">
      <c r="A38" s="111">
        <v>20</v>
      </c>
      <c r="B38" s="112" t="s">
        <v>69</v>
      </c>
      <c r="C38" s="113" t="s">
        <v>53</v>
      </c>
      <c r="D38" s="135">
        <v>1</v>
      </c>
      <c r="E38" s="53">
        <v>56400</v>
      </c>
      <c r="F38" s="117">
        <f t="shared" si="0"/>
        <v>10716</v>
      </c>
      <c r="G38" s="117">
        <f t="shared" si="1"/>
        <v>67116</v>
      </c>
      <c r="H38" s="136">
        <f t="shared" si="2"/>
        <v>67116</v>
      </c>
      <c r="I38" s="76">
        <v>20000</v>
      </c>
      <c r="J38" s="117">
        <f t="shared" si="3"/>
        <v>3800</v>
      </c>
      <c r="K38" s="117">
        <f t="shared" si="4"/>
        <v>23800</v>
      </c>
      <c r="L38" s="121">
        <f t="shared" si="5"/>
        <v>23800</v>
      </c>
      <c r="M38" s="53">
        <v>57500</v>
      </c>
      <c r="N38" s="117">
        <f t="shared" si="6"/>
        <v>10925</v>
      </c>
      <c r="O38" s="117">
        <f t="shared" si="7"/>
        <v>68425</v>
      </c>
      <c r="P38" s="121">
        <f t="shared" si="8"/>
        <v>68425</v>
      </c>
      <c r="Q38" s="137">
        <v>8403</v>
      </c>
      <c r="R38" s="138">
        <v>150.99</v>
      </c>
      <c r="S38" s="306">
        <v>160.41999999999999</v>
      </c>
      <c r="T38" s="308">
        <f t="shared" si="9"/>
        <v>8927.8048877409092</v>
      </c>
      <c r="U38" s="309">
        <f t="shared" si="10"/>
        <v>1696</v>
      </c>
      <c r="V38" s="139">
        <f t="shared" si="11"/>
        <v>10624</v>
      </c>
      <c r="W38" s="344">
        <f t="shared" si="12"/>
        <v>10624</v>
      </c>
      <c r="X38" s="57">
        <f t="shared" si="13"/>
        <v>44633.333333333336</v>
      </c>
      <c r="Y38" s="117">
        <f t="shared" si="16"/>
        <v>8480</v>
      </c>
      <c r="Z38" s="117">
        <f t="shared" si="17"/>
        <v>53113</v>
      </c>
      <c r="AA38" s="117">
        <f t="shared" si="18"/>
        <v>53113</v>
      </c>
      <c r="AB38" s="82">
        <f t="shared" si="19"/>
        <v>21340.181192607844</v>
      </c>
      <c r="AC38" s="50">
        <f t="shared" si="20"/>
        <v>0.47812205808680752</v>
      </c>
      <c r="AE38" s="57">
        <f t="shared" si="25"/>
        <v>40178.370087174466</v>
      </c>
      <c r="AF38" s="117">
        <f t="shared" si="14"/>
        <v>7634</v>
      </c>
      <c r="AG38" s="117">
        <f t="shared" si="15"/>
        <v>47812</v>
      </c>
      <c r="AH38" s="188">
        <f t="shared" si="21"/>
        <v>47812</v>
      </c>
      <c r="AI38" s="351">
        <f t="shared" si="26"/>
        <v>21340.181192607844</v>
      </c>
      <c r="AK38" s="172"/>
      <c r="AL38" s="173"/>
      <c r="AM38" s="160"/>
      <c r="AN38" s="173"/>
      <c r="AO38" s="173"/>
      <c r="AP38" s="161"/>
      <c r="AQ38" s="161"/>
      <c r="AR38" s="161"/>
      <c r="AS38" s="161"/>
      <c r="AT38" s="175"/>
      <c r="AU38" s="162"/>
    </row>
    <row r="39" spans="1:47" ht="48" customHeight="1" x14ac:dyDescent="0.2">
      <c r="A39" s="111">
        <v>21</v>
      </c>
      <c r="B39" s="112" t="s">
        <v>70</v>
      </c>
      <c r="C39" s="113" t="s">
        <v>53</v>
      </c>
      <c r="D39" s="135">
        <v>1</v>
      </c>
      <c r="E39" s="53">
        <v>42300</v>
      </c>
      <c r="F39" s="117">
        <f t="shared" si="0"/>
        <v>8037</v>
      </c>
      <c r="G39" s="117">
        <f t="shared" si="1"/>
        <v>50337</v>
      </c>
      <c r="H39" s="136">
        <f t="shared" si="2"/>
        <v>50337</v>
      </c>
      <c r="I39" s="76">
        <v>18000</v>
      </c>
      <c r="J39" s="117">
        <f t="shared" si="3"/>
        <v>3420</v>
      </c>
      <c r="K39" s="117">
        <f t="shared" si="4"/>
        <v>21420</v>
      </c>
      <c r="L39" s="121">
        <f t="shared" si="5"/>
        <v>21420</v>
      </c>
      <c r="M39" s="53">
        <v>47000</v>
      </c>
      <c r="N39" s="117">
        <f t="shared" si="6"/>
        <v>8930</v>
      </c>
      <c r="O39" s="117">
        <f t="shared" si="7"/>
        <v>55930</v>
      </c>
      <c r="P39" s="121">
        <f t="shared" si="8"/>
        <v>55930</v>
      </c>
      <c r="Q39" s="137">
        <v>5882</v>
      </c>
      <c r="R39" s="138">
        <v>150.99</v>
      </c>
      <c r="S39" s="306">
        <v>160.41999999999999</v>
      </c>
      <c r="T39" s="308">
        <f t="shared" si="9"/>
        <v>6249.357175971918</v>
      </c>
      <c r="U39" s="309">
        <f t="shared" si="10"/>
        <v>1187</v>
      </c>
      <c r="V39" s="139">
        <f t="shared" si="11"/>
        <v>7436</v>
      </c>
      <c r="W39" s="344">
        <f t="shared" si="12"/>
        <v>7436</v>
      </c>
      <c r="X39" s="57">
        <f t="shared" si="13"/>
        <v>35766.666666666664</v>
      </c>
      <c r="Y39" s="117">
        <f t="shared" si="16"/>
        <v>6796</v>
      </c>
      <c r="Z39" s="117">
        <f t="shared" si="17"/>
        <v>42563</v>
      </c>
      <c r="AA39" s="117">
        <f t="shared" si="18"/>
        <v>42563</v>
      </c>
      <c r="AB39" s="82">
        <f t="shared" si="19"/>
        <v>15564.810738757258</v>
      </c>
      <c r="AC39" s="50">
        <f t="shared" si="20"/>
        <v>0.43517644190374444</v>
      </c>
      <c r="AE39" s="57">
        <f t="shared" si="25"/>
        <v>32953.65394914685</v>
      </c>
      <c r="AF39" s="117">
        <f t="shared" si="14"/>
        <v>6261</v>
      </c>
      <c r="AG39" s="117">
        <f t="shared" si="15"/>
        <v>39215</v>
      </c>
      <c r="AH39" s="188">
        <f t="shared" si="21"/>
        <v>39215</v>
      </c>
      <c r="AI39" s="351">
        <f t="shared" si="26"/>
        <v>15564.810738757258</v>
      </c>
      <c r="AK39" s="172"/>
      <c r="AL39" s="173"/>
      <c r="AM39" s="160"/>
      <c r="AN39" s="173"/>
      <c r="AO39" s="173"/>
      <c r="AP39" s="161"/>
      <c r="AQ39" s="161"/>
      <c r="AR39" s="161"/>
      <c r="AS39" s="161"/>
      <c r="AT39" s="175"/>
      <c r="AU39" s="162"/>
    </row>
    <row r="40" spans="1:47" ht="48" customHeight="1" x14ac:dyDescent="0.2">
      <c r="A40" s="111">
        <v>22</v>
      </c>
      <c r="B40" s="112" t="s">
        <v>71</v>
      </c>
      <c r="C40" s="113" t="s">
        <v>53</v>
      </c>
      <c r="D40" s="135">
        <v>1</v>
      </c>
      <c r="E40" s="53">
        <v>16800</v>
      </c>
      <c r="F40" s="117">
        <f t="shared" si="0"/>
        <v>3192</v>
      </c>
      <c r="G40" s="117">
        <f t="shared" si="1"/>
        <v>19992</v>
      </c>
      <c r="H40" s="136">
        <f t="shared" si="2"/>
        <v>19992</v>
      </c>
      <c r="I40" s="76">
        <v>15000</v>
      </c>
      <c r="J40" s="117">
        <f t="shared" si="3"/>
        <v>2850</v>
      </c>
      <c r="K40" s="117">
        <f t="shared" si="4"/>
        <v>17850</v>
      </c>
      <c r="L40" s="121">
        <f t="shared" si="5"/>
        <v>17850</v>
      </c>
      <c r="M40" s="53">
        <v>38000</v>
      </c>
      <c r="N40" s="117">
        <f t="shared" si="6"/>
        <v>7220</v>
      </c>
      <c r="O40" s="117">
        <f t="shared" si="7"/>
        <v>45220</v>
      </c>
      <c r="P40" s="121">
        <f t="shared" si="8"/>
        <v>45220</v>
      </c>
      <c r="Q40" s="137">
        <v>2521</v>
      </c>
      <c r="R40" s="138">
        <v>150.99</v>
      </c>
      <c r="S40" s="306">
        <v>160.41999999999999</v>
      </c>
      <c r="T40" s="308">
        <f t="shared" si="9"/>
        <v>2678.4477117689908</v>
      </c>
      <c r="U40" s="309">
        <f t="shared" si="10"/>
        <v>509</v>
      </c>
      <c r="V40" s="139">
        <f t="shared" si="11"/>
        <v>3187</v>
      </c>
      <c r="W40" s="344">
        <f t="shared" si="12"/>
        <v>3187</v>
      </c>
      <c r="X40" s="57">
        <f t="shared" si="13"/>
        <v>23266.666666666668</v>
      </c>
      <c r="Y40" s="117">
        <f t="shared" si="16"/>
        <v>4421</v>
      </c>
      <c r="Z40" s="117">
        <f t="shared" si="17"/>
        <v>27688</v>
      </c>
      <c r="AA40" s="117">
        <f t="shared" si="18"/>
        <v>27688</v>
      </c>
      <c r="AB40" s="82">
        <f t="shared" si="19"/>
        <v>12791.142768858979</v>
      </c>
      <c r="AC40" s="50">
        <f t="shared" si="20"/>
        <v>0.54976258318878135</v>
      </c>
      <c r="AE40" s="57">
        <f t="shared" si="25"/>
        <v>21235.445627819339</v>
      </c>
      <c r="AF40" s="117">
        <f t="shared" si="14"/>
        <v>4035</v>
      </c>
      <c r="AG40" s="117">
        <f t="shared" si="15"/>
        <v>25270</v>
      </c>
      <c r="AH40" s="188">
        <f t="shared" si="21"/>
        <v>25270</v>
      </c>
      <c r="AI40" s="351">
        <f t="shared" si="26"/>
        <v>12791.142768858979</v>
      </c>
      <c r="AK40" s="172"/>
      <c r="AL40" s="173"/>
      <c r="AM40" s="160"/>
      <c r="AN40" s="173"/>
      <c r="AO40" s="173"/>
      <c r="AP40" s="161"/>
      <c r="AQ40" s="161"/>
      <c r="AR40" s="161"/>
      <c r="AS40" s="161"/>
      <c r="AT40" s="175"/>
      <c r="AU40" s="162"/>
    </row>
    <row r="41" spans="1:47" ht="36" customHeight="1" x14ac:dyDescent="0.2">
      <c r="A41" s="111">
        <v>23</v>
      </c>
      <c r="B41" s="112" t="s">
        <v>72</v>
      </c>
      <c r="C41" s="113" t="s">
        <v>49</v>
      </c>
      <c r="D41" s="135">
        <v>1</v>
      </c>
      <c r="E41" s="53">
        <v>99700</v>
      </c>
      <c r="F41" s="117">
        <f t="shared" si="0"/>
        <v>18943</v>
      </c>
      <c r="G41" s="117">
        <f t="shared" si="1"/>
        <v>118643</v>
      </c>
      <c r="H41" s="136">
        <f t="shared" si="2"/>
        <v>118643</v>
      </c>
      <c r="I41" s="75">
        <v>45000</v>
      </c>
      <c r="J41" s="117">
        <f t="shared" si="3"/>
        <v>8550</v>
      </c>
      <c r="K41" s="117">
        <f t="shared" si="4"/>
        <v>53550</v>
      </c>
      <c r="L41" s="121">
        <f t="shared" si="5"/>
        <v>53550</v>
      </c>
      <c r="M41" s="53">
        <v>99000</v>
      </c>
      <c r="N41" s="117">
        <f t="shared" si="6"/>
        <v>18810</v>
      </c>
      <c r="O41" s="117">
        <f t="shared" si="7"/>
        <v>117810</v>
      </c>
      <c r="P41" s="121">
        <f t="shared" si="8"/>
        <v>117810</v>
      </c>
      <c r="Q41" s="137">
        <v>33613</v>
      </c>
      <c r="R41" s="138">
        <v>150.99</v>
      </c>
      <c r="S41" s="306">
        <v>160.41999999999999</v>
      </c>
      <c r="T41" s="308">
        <f t="shared" si="9"/>
        <v>35712.282005430818</v>
      </c>
      <c r="U41" s="309">
        <f t="shared" si="10"/>
        <v>6785</v>
      </c>
      <c r="V41" s="139">
        <f t="shared" si="11"/>
        <v>42497</v>
      </c>
      <c r="W41" s="344">
        <f t="shared" si="12"/>
        <v>42497</v>
      </c>
      <c r="X41" s="57">
        <f t="shared" si="13"/>
        <v>81233.333333333328</v>
      </c>
      <c r="Y41" s="117">
        <f t="shared" si="16"/>
        <v>15434</v>
      </c>
      <c r="Z41" s="117">
        <f t="shared" si="17"/>
        <v>96667</v>
      </c>
      <c r="AA41" s="117">
        <f t="shared" si="18"/>
        <v>96667</v>
      </c>
      <c r="AB41" s="82">
        <f t="shared" si="19"/>
        <v>31380.939012931623</v>
      </c>
      <c r="AC41" s="50">
        <f t="shared" si="20"/>
        <v>0.38630618399177219</v>
      </c>
      <c r="AE41" s="57">
        <f t="shared" si="25"/>
        <v>76298.199392150666</v>
      </c>
      <c r="AF41" s="117">
        <f t="shared" si="14"/>
        <v>14497</v>
      </c>
      <c r="AG41" s="117">
        <f t="shared" si="15"/>
        <v>90795</v>
      </c>
      <c r="AH41" s="188">
        <f t="shared" si="21"/>
        <v>90795</v>
      </c>
      <c r="AI41" s="351">
        <f t="shared" si="26"/>
        <v>31380.939012931623</v>
      </c>
      <c r="AK41" s="172"/>
      <c r="AL41" s="173"/>
      <c r="AM41" s="160"/>
      <c r="AN41" s="173"/>
      <c r="AO41" s="173"/>
      <c r="AP41" s="161"/>
      <c r="AQ41" s="161"/>
      <c r="AR41" s="161"/>
      <c r="AS41" s="161"/>
      <c r="AT41" s="175"/>
      <c r="AU41" s="162"/>
    </row>
    <row r="42" spans="1:47" s="182" customFormat="1" ht="60.75" customHeight="1" thickBot="1" x14ac:dyDescent="0.25">
      <c r="A42" s="224">
        <v>24</v>
      </c>
      <c r="B42" s="225" t="s">
        <v>73</v>
      </c>
      <c r="C42" s="226" t="s">
        <v>53</v>
      </c>
      <c r="D42" s="227">
        <v>1</v>
      </c>
      <c r="E42" s="228">
        <v>290700</v>
      </c>
      <c r="F42" s="229">
        <f t="shared" si="0"/>
        <v>55233</v>
      </c>
      <c r="G42" s="229">
        <f t="shared" si="1"/>
        <v>345933</v>
      </c>
      <c r="H42" s="230">
        <f t="shared" si="2"/>
        <v>345933</v>
      </c>
      <c r="I42" s="231">
        <v>90000</v>
      </c>
      <c r="J42" s="229">
        <f t="shared" si="3"/>
        <v>17100</v>
      </c>
      <c r="K42" s="229">
        <f t="shared" si="4"/>
        <v>107100</v>
      </c>
      <c r="L42" s="232">
        <f t="shared" si="5"/>
        <v>107100</v>
      </c>
      <c r="M42" s="228">
        <v>135000</v>
      </c>
      <c r="N42" s="229">
        <f t="shared" si="6"/>
        <v>25650</v>
      </c>
      <c r="O42" s="229">
        <f t="shared" si="7"/>
        <v>160650</v>
      </c>
      <c r="P42" s="232">
        <f t="shared" si="8"/>
        <v>160650</v>
      </c>
      <c r="Q42" s="233">
        <v>37815</v>
      </c>
      <c r="R42" s="234">
        <v>150.99</v>
      </c>
      <c r="S42" s="346">
        <v>160.41999999999999</v>
      </c>
      <c r="T42" s="347">
        <f t="shared" si="9"/>
        <v>40176.715676534863</v>
      </c>
      <c r="U42" s="311">
        <f t="shared" si="10"/>
        <v>7634</v>
      </c>
      <c r="V42" s="236">
        <f t="shared" si="11"/>
        <v>47811</v>
      </c>
      <c r="W42" s="348">
        <f t="shared" si="12"/>
        <v>47811</v>
      </c>
      <c r="X42" s="238">
        <f t="shared" si="13"/>
        <v>171900</v>
      </c>
      <c r="Y42" s="239">
        <f t="shared" si="16"/>
        <v>32661</v>
      </c>
      <c r="Z42" s="239">
        <f t="shared" si="17"/>
        <v>204561</v>
      </c>
      <c r="AA42" s="239">
        <f t="shared" si="18"/>
        <v>204561</v>
      </c>
      <c r="AB42" s="240">
        <f t="shared" si="19"/>
        <v>105315.38349168179</v>
      </c>
      <c r="AC42" s="241">
        <f t="shared" si="20"/>
        <v>0.61265493596091791</v>
      </c>
      <c r="AE42" s="238">
        <f>IF(AND(AC42&gt;30%,AC42&lt;=60%),GEOMEAN(E42,I42,M42),IF(AC42&lt;=30%,AVERAGE(E42,I42,M42),AT42))</f>
        <v>88392.238558844954</v>
      </c>
      <c r="AF42" s="239">
        <f t="shared" si="14"/>
        <v>16795</v>
      </c>
      <c r="AG42" s="239">
        <f t="shared" si="15"/>
        <v>105187</v>
      </c>
      <c r="AH42" s="242">
        <f t="shared" si="21"/>
        <v>105187</v>
      </c>
      <c r="AI42" s="354">
        <v>0</v>
      </c>
      <c r="AK42" s="244">
        <f>AVERAGE(E42,I42,M42,T42)</f>
        <v>138969.17891913373</v>
      </c>
      <c r="AL42" s="245">
        <f>STDEV(E42,I42,M42,T42)</f>
        <v>108314.24610013266</v>
      </c>
      <c r="AM42" s="246">
        <f t="shared" si="22"/>
        <v>0.77941200302522329</v>
      </c>
      <c r="AN42" s="245">
        <f t="shared" si="23"/>
        <v>30654.932819001071</v>
      </c>
      <c r="AO42" s="245">
        <f t="shared" si="24"/>
        <v>247283.42501926637</v>
      </c>
      <c r="AP42" s="247" t="str">
        <f>IF(AM42&gt;60%,IF(AND(ISNUMBER(E42),E42&gt;=AN42,E42&lt;=AO42),"PERMANECE",IF(ISNUMBER(E42),"SE ACOTA","SIN DATO")),"NO APLICA")</f>
        <v>SE ACOTA</v>
      </c>
      <c r="AQ42" s="247" t="str">
        <f>IF(AM42&gt;60%,IF(AND(ISNUMBER(I42),I42&gt;=AN42,I42&lt;=AO42),"PERMANECE",IF(ISNUMBER(I42),"SE ACOTA","SIN DATO")),"NO APLICA")</f>
        <v>PERMANECE</v>
      </c>
      <c r="AR42" s="247" t="str">
        <f>IF(AM42&gt;60%,IF(AND(ISNUMBER(M42),M42&gt;=AN42,M42&lt;=AO42),"PERMANECE",IF(ISNUMBER(M42),"SE ACOTA","SIN DATO")),"NO APLICA")</f>
        <v>PERMANECE</v>
      </c>
      <c r="AS42" s="247" t="str">
        <f>IF(AM42&gt;60%,IF(AND(ISNUMBER(T42),T42&gt;=AN42,T42&lt;=AO42),"PERMANECE",IF(ISNUMBER(T42),"SE ACOTA","SIN DATO")),"NO APLICA")</f>
        <v>PERMANECE</v>
      </c>
      <c r="AT42" s="248">
        <f>IF(AM42&gt;60%,IFERROR((IF(AND(ISNUMBER(E42),E42&gt;=AN42,E42&lt;=AO42),E42,0) + IF(AND(ISNUMBER(I42),I42&gt;=AN42,I42&lt;=AO42),I42,0) + IF(AND(ISNUMBER(M42),M42&gt;=AN42,M42&lt;=AO42),M42,0) + IF(AND(ISNUMBER(T42),T42&gt;=AN42,T42&lt;=AO42),T42,0))/(--AND(ISNUMBER(E42),E42&gt;=AN42,E42&lt;=AO42) + --AND(ISNUMBER(I42),I42&gt;=AN42,I42&lt;=AO42) + --AND(ISNUMBER(M42),M42&gt;=AN42,M42&lt;=AO42) + --AND(ISNUMBER(T42),T42&gt;=AN42,T42&lt;=AO42)),""),AVERAGE(E42,I42,M42,T42))</f>
        <v>88392.238558844954</v>
      </c>
      <c r="AU42" s="249">
        <f>IF(AM42&gt;60%,IF((--AND(ISNUMBER(E42),E42&gt;=AN42,E42&lt;=AO42) + --AND(ISNUMBER(I42),I42&gt;=AN42,I42&lt;=AO42) + --AND(ISNUMBER(M42),M42&gt;=AN42,M42&lt;=AO42) + --AND(ISNUMBER(T42),T42&gt;=AN42,T42&lt;=AO42))&gt;=2,SQRT((IF(AND(ISNUMBER(E42),E42&gt;=AN42,E42&lt;=AO42),(E42-AT42)^2,0) + IF(AND(ISNUMBER(I42),I42&gt;=AN42,I42&lt;=AO42),(I42-AT42)^2,0) + IF(AND(ISNUMBER(M42),M42&gt;=AN42,M42&lt;=AO42),(M42-AT42)^2,0) + IF(AND(ISNUMBER(T42),T42&gt;=AN42,T42&lt;=AO42),(T42-AT42)^2,0))/((--AND(ISNUMBER(E42),E42&gt;=AN42,E42&lt;=AO42) + --AND(ISNUMBER(I42),I42&gt;=AN42,I42&lt;=AO42) + --AND(ISNUMBER(M42),M42&gt;=AN42,M42&lt;=AO42) + --AND(ISNUMBER(T42),T42&gt;=AN42,T42&lt;=AO42))-1))/AT42,""),AM42)</f>
        <v>0.53660913718706005</v>
      </c>
    </row>
    <row r="43" spans="1:47" ht="13.5" customHeight="1" thickBot="1" x14ac:dyDescent="0.25">
      <c r="A43" s="379" t="s">
        <v>74</v>
      </c>
      <c r="B43" s="360"/>
      <c r="C43" s="360"/>
      <c r="D43" s="380"/>
      <c r="E43" s="402">
        <f>SUM(H19:H42)</f>
        <v>2757411</v>
      </c>
      <c r="F43" s="360"/>
      <c r="G43" s="360"/>
      <c r="H43" s="380"/>
      <c r="I43" s="379">
        <f>SUM(L19:L42)</f>
        <v>1748705</v>
      </c>
      <c r="J43" s="360"/>
      <c r="K43" s="360"/>
      <c r="L43" s="380"/>
      <c r="M43" s="379">
        <f>SUM(P19:P42)</f>
        <v>3847707</v>
      </c>
      <c r="N43" s="360"/>
      <c r="O43" s="360"/>
      <c r="P43" s="380"/>
      <c r="Q43" s="395">
        <f>SUM(W19:W42)</f>
        <v>839328</v>
      </c>
      <c r="R43" s="391"/>
      <c r="S43" s="391"/>
      <c r="T43" s="391"/>
      <c r="U43" s="391"/>
      <c r="V43" s="391"/>
      <c r="W43" s="396"/>
      <c r="X43" s="403">
        <f>SUM(AA19:AA42)</f>
        <v>2784609</v>
      </c>
      <c r="Y43" s="373"/>
      <c r="Z43" s="373"/>
      <c r="AA43" s="396"/>
      <c r="AB43" s="387">
        <f>SUM(AB19:AB42)</f>
        <v>1351561.4567747691</v>
      </c>
      <c r="AC43" s="388"/>
      <c r="AE43" s="404">
        <f>SUM(AH19:AH42)</f>
        <v>2169615</v>
      </c>
      <c r="AF43" s="364"/>
      <c r="AG43" s="364"/>
      <c r="AH43" s="365"/>
      <c r="AI43" s="191">
        <f>SUM(AI19:AI42)</f>
        <v>643185.00194758305</v>
      </c>
      <c r="AK43" s="166"/>
    </row>
    <row r="44" spans="1:47" ht="6.75" customHeight="1" thickBot="1" x14ac:dyDescent="0.25">
      <c r="A44" s="68"/>
      <c r="B44" s="69"/>
      <c r="C44" s="69"/>
      <c r="D44" s="69"/>
      <c r="E44" s="69"/>
      <c r="F44" s="69"/>
      <c r="G44" s="69"/>
      <c r="H44" s="69"/>
      <c r="I44" s="69"/>
      <c r="J44" s="69"/>
      <c r="K44" s="69"/>
      <c r="L44" s="69"/>
      <c r="M44" s="69"/>
      <c r="N44" s="69"/>
      <c r="O44" s="69"/>
      <c r="P44" s="69"/>
      <c r="Q44" s="69"/>
      <c r="R44" s="69"/>
      <c r="S44" s="69"/>
      <c r="T44" s="69"/>
      <c r="U44" s="69"/>
      <c r="V44" s="69"/>
      <c r="W44" s="69"/>
      <c r="X44" s="150"/>
      <c r="Y44" s="70"/>
      <c r="Z44" s="70"/>
      <c r="AA44" s="70"/>
      <c r="AB44" s="70"/>
      <c r="AC44" s="70"/>
    </row>
    <row r="45" spans="1:47" ht="13.5" customHeight="1" thickBot="1" x14ac:dyDescent="0.25">
      <c r="A45" s="366" t="s">
        <v>75</v>
      </c>
      <c r="B45" s="367"/>
      <c r="C45" s="367"/>
      <c r="D45" s="367"/>
      <c r="E45" s="367"/>
      <c r="F45" s="367"/>
      <c r="G45" s="367"/>
      <c r="H45" s="367"/>
      <c r="I45" s="367"/>
      <c r="J45" s="367"/>
      <c r="K45" s="367"/>
      <c r="L45" s="367"/>
      <c r="M45" s="367"/>
      <c r="N45" s="367"/>
      <c r="O45" s="367"/>
      <c r="P45" s="367"/>
      <c r="Q45" s="367"/>
      <c r="R45" s="367"/>
      <c r="S45" s="367"/>
      <c r="T45" s="367"/>
      <c r="U45" s="367"/>
      <c r="V45" s="367"/>
      <c r="W45" s="367"/>
      <c r="X45" s="367"/>
      <c r="Y45" s="367"/>
      <c r="Z45" s="367"/>
      <c r="AA45" s="367"/>
      <c r="AB45" s="367"/>
      <c r="AC45" s="368"/>
    </row>
    <row r="46" spans="1:47" ht="408" customHeight="1" x14ac:dyDescent="0.2">
      <c r="A46" s="359" t="s">
        <v>115</v>
      </c>
      <c r="B46" s="360"/>
      <c r="C46" s="360"/>
      <c r="D46" s="360"/>
      <c r="E46" s="360"/>
      <c r="F46" s="360"/>
      <c r="G46" s="360"/>
      <c r="H46" s="360"/>
      <c r="I46" s="360"/>
      <c r="J46" s="360"/>
      <c r="K46" s="360"/>
      <c r="L46" s="360"/>
      <c r="M46" s="360"/>
      <c r="N46" s="360"/>
      <c r="O46" s="360"/>
      <c r="P46" s="360"/>
      <c r="Q46" s="360"/>
      <c r="R46" s="360"/>
      <c r="S46" s="360"/>
      <c r="T46" s="360"/>
      <c r="U46" s="360"/>
      <c r="V46" s="360"/>
      <c r="W46" s="360"/>
      <c r="X46" s="360"/>
      <c r="Y46" s="360"/>
      <c r="Z46" s="360"/>
      <c r="AA46" s="360"/>
      <c r="AB46" s="360"/>
      <c r="AC46" s="361"/>
    </row>
    <row r="47" spans="1:47" ht="6.75" customHeight="1" thickBot="1" x14ac:dyDescent="0.25">
      <c r="A47" s="362"/>
      <c r="B47" s="363"/>
      <c r="C47" s="363"/>
      <c r="D47" s="363"/>
      <c r="E47" s="363"/>
      <c r="F47" s="363"/>
      <c r="G47" s="363"/>
      <c r="H47" s="363"/>
      <c r="I47" s="363"/>
      <c r="J47" s="363"/>
      <c r="K47" s="363"/>
      <c r="L47" s="363"/>
      <c r="M47" s="363"/>
      <c r="N47" s="363"/>
      <c r="O47" s="363"/>
      <c r="P47" s="363"/>
      <c r="Q47" s="363"/>
      <c r="R47" s="363"/>
      <c r="S47" s="363"/>
      <c r="T47" s="363"/>
      <c r="U47" s="363"/>
      <c r="V47" s="363"/>
      <c r="W47" s="363"/>
      <c r="X47" s="364"/>
      <c r="Y47" s="364"/>
      <c r="Z47" s="364"/>
      <c r="AA47" s="364"/>
      <c r="AB47" s="364"/>
      <c r="AC47" s="365"/>
    </row>
    <row r="48" spans="1:47" s="89" customFormat="1" ht="20.25" customHeight="1" x14ac:dyDescent="0.2">
      <c r="A48" s="86"/>
      <c r="B48" s="325"/>
      <c r="C48" s="325"/>
      <c r="D48" s="325"/>
      <c r="E48" s="325"/>
      <c r="F48" s="325"/>
      <c r="G48" s="325"/>
      <c r="H48" s="325"/>
      <c r="I48" s="325"/>
      <c r="J48" s="325"/>
      <c r="K48" s="325"/>
      <c r="L48" s="325"/>
      <c r="M48" s="326"/>
      <c r="N48" s="325"/>
      <c r="O48" s="325"/>
      <c r="P48" s="325"/>
      <c r="Q48" s="325"/>
      <c r="R48" s="325"/>
      <c r="S48" s="325"/>
      <c r="T48" s="325"/>
      <c r="U48" s="325"/>
      <c r="V48" s="326"/>
      <c r="W48" s="325"/>
      <c r="X48" s="181"/>
      <c r="Y48" s="87"/>
      <c r="Z48" s="181"/>
      <c r="AA48" s="87"/>
      <c r="AB48" s="87"/>
      <c r="AC48" s="338"/>
      <c r="AD48" s="324"/>
      <c r="AE48" s="300"/>
      <c r="AF48" s="324"/>
      <c r="AG48" s="324"/>
      <c r="AH48" s="324"/>
      <c r="AI48" s="324"/>
    </row>
    <row r="49" spans="1:35" s="89" customFormat="1" x14ac:dyDescent="0.2">
      <c r="A49" s="88"/>
      <c r="B49" s="327"/>
      <c r="C49" s="327"/>
      <c r="D49" s="327"/>
      <c r="E49" s="327"/>
      <c r="F49" s="327"/>
      <c r="G49" s="327"/>
      <c r="H49" s="327"/>
      <c r="I49" s="327"/>
      <c r="J49" s="327"/>
      <c r="K49" s="327"/>
      <c r="L49" s="327"/>
      <c r="M49" s="328"/>
      <c r="N49" s="327"/>
      <c r="O49" s="327"/>
      <c r="P49" s="327"/>
      <c r="Q49" s="327"/>
      <c r="R49" s="327"/>
      <c r="S49" s="327"/>
      <c r="T49" s="327"/>
      <c r="U49" s="327"/>
      <c r="V49" s="328"/>
      <c r="W49" s="327"/>
      <c r="X49" s="300"/>
      <c r="Y49" s="324"/>
      <c r="Z49" s="300"/>
      <c r="AA49" s="324"/>
      <c r="AB49" s="324"/>
      <c r="AC49" s="183"/>
      <c r="AD49" s="324"/>
      <c r="AE49" s="300"/>
      <c r="AF49" s="324"/>
      <c r="AG49" s="324"/>
      <c r="AH49" s="324"/>
      <c r="AI49" s="324"/>
    </row>
    <row r="50" spans="1:35" s="89" customFormat="1" x14ac:dyDescent="0.2">
      <c r="A50" s="88"/>
      <c r="B50" s="327"/>
      <c r="C50" s="327"/>
      <c r="D50" s="327"/>
      <c r="E50" s="327"/>
      <c r="F50" s="327"/>
      <c r="G50" s="327"/>
      <c r="H50" s="327"/>
      <c r="I50" s="327"/>
      <c r="J50" s="327"/>
      <c r="K50" s="327"/>
      <c r="L50" s="327"/>
      <c r="M50" s="328"/>
      <c r="N50" s="327"/>
      <c r="O50" s="327"/>
      <c r="P50" s="327"/>
      <c r="Q50" s="327"/>
      <c r="R50" s="327"/>
      <c r="S50" s="327"/>
      <c r="T50" s="327"/>
      <c r="U50" s="327"/>
      <c r="V50" s="328"/>
      <c r="W50" s="327"/>
      <c r="X50" s="300"/>
      <c r="Y50" s="324"/>
      <c r="Z50" s="300"/>
      <c r="AA50" s="324"/>
      <c r="AB50" s="324"/>
      <c r="AC50" s="183"/>
      <c r="AD50" s="324"/>
      <c r="AE50" s="300"/>
      <c r="AF50" s="324"/>
      <c r="AG50" s="324"/>
      <c r="AH50" s="324"/>
      <c r="AI50" s="324"/>
    </row>
    <row r="51" spans="1:35" s="89" customFormat="1" ht="15" customHeight="1" x14ac:dyDescent="0.2">
      <c r="A51" s="88"/>
      <c r="B51" s="327"/>
      <c r="C51" s="327"/>
      <c r="D51" s="327"/>
      <c r="E51" s="327"/>
      <c r="F51" s="327"/>
      <c r="G51" s="327"/>
      <c r="H51" s="327"/>
      <c r="I51" s="327"/>
      <c r="J51" s="327"/>
      <c r="K51" s="327"/>
      <c r="L51" s="327"/>
      <c r="M51" s="328"/>
      <c r="N51" s="327"/>
      <c r="O51" s="327"/>
      <c r="P51" s="327"/>
      <c r="Q51" s="327"/>
      <c r="R51" s="327"/>
      <c r="S51" s="327"/>
      <c r="T51" s="327"/>
      <c r="U51" s="327"/>
      <c r="V51" s="328"/>
      <c r="W51" s="327"/>
      <c r="X51" s="300"/>
      <c r="Y51" s="324"/>
      <c r="Z51" s="300"/>
      <c r="AA51" s="324"/>
      <c r="AB51" s="324"/>
      <c r="AC51" s="183"/>
      <c r="AD51" s="324"/>
      <c r="AE51" s="300"/>
      <c r="AF51" s="324"/>
      <c r="AG51" s="324"/>
      <c r="AH51" s="324"/>
      <c r="AI51" s="324"/>
    </row>
    <row r="52" spans="1:35" s="89" customFormat="1" x14ac:dyDescent="0.2">
      <c r="A52" s="88"/>
      <c r="B52" s="327"/>
      <c r="C52" s="327"/>
      <c r="D52" s="327"/>
      <c r="E52" s="327"/>
      <c r="F52" s="327"/>
      <c r="G52" s="327"/>
      <c r="H52" s="327"/>
      <c r="I52" s="327"/>
      <c r="J52" s="327"/>
      <c r="K52" s="327"/>
      <c r="L52" s="327"/>
      <c r="M52" s="328"/>
      <c r="N52" s="327"/>
      <c r="O52" s="327"/>
      <c r="P52" s="327"/>
      <c r="Q52" s="327"/>
      <c r="R52" s="327"/>
      <c r="S52" s="327"/>
      <c r="T52" s="327"/>
      <c r="U52" s="327"/>
      <c r="V52" s="328"/>
      <c r="W52" s="327"/>
      <c r="X52" s="300"/>
      <c r="Y52" s="324"/>
      <c r="Z52" s="300"/>
      <c r="AA52" s="324"/>
      <c r="AB52" s="324"/>
      <c r="AC52" s="183"/>
      <c r="AD52" s="324"/>
      <c r="AE52" s="300"/>
      <c r="AF52" s="324"/>
      <c r="AG52" s="324"/>
      <c r="AH52" s="324"/>
      <c r="AI52" s="324"/>
    </row>
    <row r="53" spans="1:35" s="89" customFormat="1" x14ac:dyDescent="0.2">
      <c r="A53" s="88"/>
      <c r="B53" s="327"/>
      <c r="C53" s="327"/>
      <c r="D53" s="327"/>
      <c r="E53" s="327"/>
      <c r="F53" s="327"/>
      <c r="G53" s="327"/>
      <c r="H53" s="327"/>
      <c r="I53" s="327"/>
      <c r="J53" s="327"/>
      <c r="K53" s="327"/>
      <c r="L53" s="327"/>
      <c r="M53" s="328"/>
      <c r="N53" s="327"/>
      <c r="O53" s="327"/>
      <c r="P53" s="327"/>
      <c r="Q53" s="327"/>
      <c r="R53" s="327"/>
      <c r="S53" s="327"/>
      <c r="T53" s="327"/>
      <c r="U53" s="327"/>
      <c r="V53" s="328"/>
      <c r="W53" s="327"/>
      <c r="X53" s="300"/>
      <c r="Y53" s="324"/>
      <c r="Z53" s="300"/>
      <c r="AA53" s="324"/>
      <c r="AB53" s="324"/>
      <c r="AC53" s="183"/>
      <c r="AD53" s="324"/>
      <c r="AE53" s="300"/>
      <c r="AF53" s="324"/>
      <c r="AG53" s="324"/>
      <c r="AH53" s="324"/>
      <c r="AI53" s="324"/>
    </row>
    <row r="54" spans="1:35" s="89" customFormat="1" x14ac:dyDescent="0.2">
      <c r="A54" s="88"/>
      <c r="B54" s="327"/>
      <c r="C54" s="327"/>
      <c r="D54" s="327"/>
      <c r="E54" s="327"/>
      <c r="F54" s="327"/>
      <c r="G54" s="327"/>
      <c r="H54" s="327"/>
      <c r="I54" s="327"/>
      <c r="J54" s="327"/>
      <c r="K54" s="327"/>
      <c r="L54" s="327"/>
      <c r="M54" s="328"/>
      <c r="N54" s="327"/>
      <c r="O54" s="327"/>
      <c r="P54" s="327"/>
      <c r="Q54" s="327"/>
      <c r="R54" s="327"/>
      <c r="S54" s="327"/>
      <c r="T54" s="327"/>
      <c r="U54" s="327"/>
      <c r="V54" s="328"/>
      <c r="W54" s="327"/>
      <c r="X54" s="300"/>
      <c r="Y54" s="324"/>
      <c r="Z54" s="300"/>
      <c r="AA54" s="324"/>
      <c r="AB54" s="324"/>
      <c r="AC54" s="183"/>
      <c r="AD54" s="324"/>
      <c r="AE54" s="300"/>
      <c r="AF54" s="324"/>
      <c r="AG54" s="324"/>
      <c r="AH54" s="324"/>
      <c r="AI54" s="324"/>
    </row>
    <row r="55" spans="1:35" s="335" customFormat="1" ht="13.5" customHeight="1" thickBot="1" x14ac:dyDescent="0.25">
      <c r="A55" s="329"/>
      <c r="B55" s="330"/>
      <c r="C55" s="330"/>
      <c r="D55" s="330"/>
      <c r="E55" s="331"/>
      <c r="F55" s="330"/>
      <c r="G55" s="330"/>
      <c r="H55" s="330"/>
      <c r="I55" s="331"/>
      <c r="J55" s="330"/>
      <c r="K55" s="330"/>
      <c r="L55" s="330"/>
      <c r="M55" s="331"/>
      <c r="N55" s="330"/>
      <c r="O55" s="330"/>
      <c r="P55" s="330"/>
      <c r="Q55" s="330"/>
      <c r="R55" s="330"/>
      <c r="S55" s="330"/>
      <c r="T55" s="331"/>
      <c r="U55" s="330"/>
      <c r="V55" s="330"/>
      <c r="W55" s="330"/>
      <c r="X55" s="332"/>
      <c r="Y55" s="333"/>
      <c r="Z55" s="334"/>
      <c r="AA55" s="333"/>
      <c r="AB55" s="333"/>
      <c r="AC55" s="339"/>
      <c r="AD55" s="337"/>
      <c r="AE55" s="337"/>
      <c r="AF55" s="337"/>
      <c r="AG55" s="337"/>
      <c r="AH55" s="337"/>
      <c r="AI55" s="336"/>
    </row>
    <row r="56" spans="1:35" s="89" customFormat="1" ht="20.25" customHeight="1" x14ac:dyDescent="0.2">
      <c r="A56" s="88"/>
      <c r="B56" s="322"/>
      <c r="C56" s="322"/>
      <c r="D56" s="322"/>
      <c r="E56" s="322"/>
      <c r="F56" s="322"/>
      <c r="G56" s="322"/>
      <c r="H56" s="322"/>
      <c r="I56" s="322"/>
      <c r="J56" s="322"/>
      <c r="K56" s="322"/>
      <c r="L56" s="322"/>
      <c r="M56" s="323"/>
      <c r="N56" s="322"/>
      <c r="O56" s="322"/>
      <c r="P56" s="322"/>
      <c r="Q56" s="322"/>
      <c r="R56" s="322"/>
      <c r="S56" s="322"/>
      <c r="T56" s="322"/>
      <c r="U56" s="322"/>
      <c r="V56" s="323"/>
      <c r="W56" s="322"/>
      <c r="X56" s="300"/>
      <c r="Y56" s="324"/>
      <c r="Z56" s="300"/>
      <c r="AA56" s="324"/>
      <c r="AB56" s="324"/>
      <c r="AC56" s="300"/>
    </row>
    <row r="57" spans="1:35" s="89" customFormat="1" x14ac:dyDescent="0.2">
      <c r="A57" s="88"/>
      <c r="B57" s="322"/>
      <c r="C57" s="322"/>
      <c r="D57" s="322"/>
      <c r="E57" s="322"/>
      <c r="F57" s="322"/>
      <c r="G57" s="322"/>
      <c r="H57" s="322"/>
      <c r="I57" s="322"/>
      <c r="J57" s="322"/>
      <c r="K57" s="322"/>
      <c r="L57" s="322"/>
      <c r="M57" s="323"/>
      <c r="N57" s="322"/>
      <c r="O57" s="322"/>
      <c r="P57" s="322"/>
      <c r="Q57" s="322"/>
      <c r="R57" s="322"/>
      <c r="S57" s="322"/>
      <c r="T57" s="322"/>
      <c r="U57" s="322"/>
      <c r="V57" s="323"/>
      <c r="W57" s="322"/>
      <c r="X57" s="324"/>
      <c r="Y57" s="324"/>
      <c r="Z57" s="324"/>
      <c r="AA57" s="324"/>
      <c r="AB57" s="324"/>
      <c r="AC57" s="324"/>
    </row>
    <row r="58" spans="1:35" s="89" customFormat="1" x14ac:dyDescent="0.2">
      <c r="A58" s="88"/>
      <c r="B58" s="322"/>
      <c r="C58" s="322"/>
      <c r="D58" s="322"/>
      <c r="E58" s="322"/>
      <c r="F58" s="322"/>
      <c r="G58" s="322"/>
      <c r="H58" s="322"/>
      <c r="I58" s="322"/>
      <c r="J58" s="322"/>
      <c r="K58" s="322"/>
      <c r="L58" s="322"/>
      <c r="M58" s="323"/>
      <c r="N58" s="322"/>
      <c r="O58" s="322"/>
      <c r="P58" s="322"/>
      <c r="Q58" s="322"/>
      <c r="R58" s="322"/>
      <c r="S58" s="322"/>
      <c r="T58" s="322"/>
      <c r="U58" s="322"/>
      <c r="V58" s="323"/>
      <c r="W58" s="322"/>
      <c r="X58" s="324"/>
      <c r="Y58" s="324"/>
      <c r="Z58" s="324"/>
      <c r="AA58" s="324"/>
      <c r="AB58" s="324"/>
      <c r="AC58" s="324"/>
    </row>
    <row r="59" spans="1:35" s="89" customFormat="1" ht="15" customHeight="1" x14ac:dyDescent="0.2">
      <c r="A59" s="88"/>
      <c r="B59" s="322"/>
      <c r="C59" s="322"/>
      <c r="D59" s="322"/>
      <c r="E59" s="322"/>
      <c r="F59" s="322"/>
      <c r="G59" s="322"/>
      <c r="H59" s="322"/>
      <c r="I59" s="322"/>
      <c r="J59" s="322"/>
      <c r="K59" s="322"/>
      <c r="L59" s="322"/>
      <c r="M59" s="323"/>
      <c r="N59" s="322"/>
      <c r="O59" s="322"/>
      <c r="P59" s="322"/>
      <c r="Q59" s="322"/>
      <c r="R59" s="322"/>
      <c r="S59" s="322"/>
      <c r="T59" s="322"/>
      <c r="U59" s="322"/>
      <c r="V59" s="323"/>
      <c r="W59" s="322"/>
      <c r="X59" s="324"/>
      <c r="Y59" s="324"/>
      <c r="Z59" s="324"/>
      <c r="AA59" s="324"/>
      <c r="AB59" s="324"/>
      <c r="AC59" s="324"/>
    </row>
    <row r="60" spans="1:35" s="89" customFormat="1" x14ac:dyDescent="0.2">
      <c r="A60" s="88"/>
      <c r="B60" s="322"/>
      <c r="C60" s="322"/>
      <c r="D60" s="322"/>
      <c r="E60" s="322"/>
      <c r="F60" s="322"/>
      <c r="G60" s="322"/>
      <c r="H60" s="322"/>
      <c r="I60" s="322"/>
      <c r="J60" s="322"/>
      <c r="K60" s="322"/>
      <c r="L60" s="322"/>
      <c r="M60" s="323"/>
      <c r="N60" s="322"/>
      <c r="O60" s="322"/>
      <c r="P60" s="322"/>
      <c r="Q60" s="322"/>
      <c r="R60" s="322"/>
      <c r="S60" s="322"/>
      <c r="T60" s="322"/>
      <c r="U60" s="322"/>
      <c r="V60" s="323"/>
      <c r="W60" s="322"/>
      <c r="X60" s="324"/>
      <c r="Y60" s="324"/>
      <c r="Z60" s="324"/>
      <c r="AA60" s="324"/>
      <c r="AB60" s="324"/>
      <c r="AC60" s="324"/>
    </row>
    <row r="61" spans="1:35" s="89" customFormat="1" x14ac:dyDescent="0.2">
      <c r="A61" s="88"/>
      <c r="B61" s="322"/>
      <c r="C61" s="322"/>
      <c r="D61" s="322"/>
      <c r="E61" s="322"/>
      <c r="F61" s="322"/>
      <c r="G61" s="322"/>
      <c r="H61" s="322"/>
      <c r="I61" s="322"/>
      <c r="J61" s="322"/>
      <c r="K61" s="322"/>
      <c r="L61" s="322"/>
      <c r="M61" s="323"/>
      <c r="N61" s="322"/>
      <c r="O61" s="322"/>
      <c r="P61" s="322"/>
      <c r="Q61" s="322"/>
      <c r="R61" s="322"/>
      <c r="S61" s="322"/>
      <c r="T61" s="322"/>
      <c r="U61" s="322"/>
      <c r="V61" s="323"/>
      <c r="W61" s="322"/>
      <c r="X61" s="324"/>
      <c r="Y61" s="324"/>
      <c r="Z61" s="324"/>
      <c r="AA61" s="324"/>
      <c r="AB61" s="324"/>
      <c r="AC61" s="324"/>
    </row>
    <row r="62" spans="1:35" s="89" customFormat="1" x14ac:dyDescent="0.2">
      <c r="A62" s="88"/>
      <c r="B62" s="322"/>
      <c r="C62" s="322"/>
      <c r="D62" s="322"/>
      <c r="E62" s="322"/>
      <c r="F62" s="322"/>
      <c r="G62" s="322"/>
      <c r="H62" s="322"/>
      <c r="I62" s="322"/>
      <c r="J62" s="322"/>
      <c r="K62" s="322"/>
      <c r="L62" s="322"/>
      <c r="M62" s="323"/>
      <c r="N62" s="322"/>
      <c r="O62" s="322"/>
      <c r="P62" s="322"/>
      <c r="Q62" s="322"/>
      <c r="R62" s="322"/>
      <c r="S62" s="322"/>
      <c r="T62" s="322"/>
      <c r="U62" s="322"/>
      <c r="V62" s="323"/>
      <c r="W62" s="322"/>
      <c r="X62" s="324"/>
      <c r="Y62" s="324"/>
      <c r="Z62" s="324"/>
      <c r="AA62" s="324"/>
      <c r="AB62" s="324"/>
      <c r="AC62" s="324"/>
    </row>
  </sheetData>
  <mergeCells count="34">
    <mergeCell ref="A43:D43"/>
    <mergeCell ref="Q17:W17"/>
    <mergeCell ref="A1:AC2"/>
    <mergeCell ref="E17:H17"/>
    <mergeCell ref="AB43:AC43"/>
    <mergeCell ref="C6:AC6"/>
    <mergeCell ref="B4:D4"/>
    <mergeCell ref="E4:AC4"/>
    <mergeCell ref="Q43:W43"/>
    <mergeCell ref="G11:J11"/>
    <mergeCell ref="A3:B3"/>
    <mergeCell ref="A5:AC5"/>
    <mergeCell ref="A6:B6"/>
    <mergeCell ref="G9:J9"/>
    <mergeCell ref="E43:H43"/>
    <mergeCell ref="X43:AA43"/>
    <mergeCell ref="I17:L17"/>
    <mergeCell ref="M17:P17"/>
    <mergeCell ref="A46:AC47"/>
    <mergeCell ref="A45:AC45"/>
    <mergeCell ref="AK17:AU17"/>
    <mergeCell ref="AK16:AU16"/>
    <mergeCell ref="A7:P7"/>
    <mergeCell ref="G10:J10"/>
    <mergeCell ref="G13:J13"/>
    <mergeCell ref="A15:AA15"/>
    <mergeCell ref="I43:L43"/>
    <mergeCell ref="X17:AC17"/>
    <mergeCell ref="AE15:AU15"/>
    <mergeCell ref="AE17:AI17"/>
    <mergeCell ref="G12:J12"/>
    <mergeCell ref="M43:P43"/>
    <mergeCell ref="A17:D17"/>
    <mergeCell ref="AE43:AH43"/>
  </mergeCells>
  <pageMargins left="0.7" right="0.7" top="0.75" bottom="0.75" header="0.511811023622047" footer="0.511811023622047"/>
  <pageSetup paperSize="9"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AU32"/>
  <sheetViews>
    <sheetView showGridLines="0" zoomScale="86" zoomScaleNormal="86" workbookViewId="0">
      <selection activeCell="AE28" sqref="AE28"/>
    </sheetView>
  </sheetViews>
  <sheetFormatPr baseColWidth="10" defaultColWidth="10.7109375" defaultRowHeight="12.75" customHeight="1" x14ac:dyDescent="0.2"/>
  <cols>
    <col min="1" max="1" width="4.85546875" style="147" customWidth="1"/>
    <col min="2" max="2" width="29.140625" style="147" customWidth="1"/>
    <col min="3" max="3" width="10.28515625" style="147" customWidth="1"/>
    <col min="4" max="4" width="9.42578125" style="147" customWidth="1"/>
    <col min="5" max="5" width="8.7109375" style="147" customWidth="1"/>
    <col min="6" max="6" width="9.7109375" style="147" customWidth="1"/>
    <col min="7" max="7" width="10.28515625" style="147" customWidth="1"/>
    <col min="8" max="8" width="9.42578125" style="147" customWidth="1"/>
    <col min="9" max="9" width="8.85546875" style="147" customWidth="1"/>
    <col min="10" max="10" width="7.7109375" style="147" customWidth="1"/>
    <col min="11" max="11" width="10.28515625" style="147" customWidth="1"/>
    <col min="12" max="12" width="8.85546875" style="147" customWidth="1"/>
    <col min="13" max="13" width="9.5703125" style="147" customWidth="1"/>
    <col min="14" max="14" width="9.42578125" style="147" customWidth="1"/>
    <col min="15" max="15" width="10.7109375" style="147" customWidth="1"/>
    <col min="16" max="16" width="10.28515625" style="147" customWidth="1"/>
    <col min="17" max="18" width="9.28515625" style="147" customWidth="1"/>
    <col min="19" max="19" width="9.140625" style="147" customWidth="1"/>
    <col min="20" max="20" width="9.7109375" style="147" customWidth="1"/>
    <col min="21" max="21" width="9.28515625" style="147" customWidth="1"/>
    <col min="22" max="22" width="10.85546875" style="147" customWidth="1"/>
    <col min="23" max="23" width="8.7109375" style="147" customWidth="1"/>
    <col min="24" max="24" width="10" style="147" customWidth="1"/>
    <col min="25" max="25" width="8.7109375" style="147" customWidth="1"/>
    <col min="26" max="26" width="8.5703125" style="147" customWidth="1"/>
    <col min="27" max="27" width="9" style="147" customWidth="1"/>
    <col min="28" max="28" width="9.7109375" style="144" customWidth="1"/>
    <col min="29" max="29" width="4.85546875" style="144" customWidth="1"/>
    <col min="30" max="30" width="1.42578125" style="144" customWidth="1"/>
    <col min="32" max="32" width="9.140625" style="144" customWidth="1"/>
    <col min="34" max="34" width="12.140625" style="144" customWidth="1"/>
    <col min="36" max="36" width="1.42578125" customWidth="1"/>
    <col min="37" max="37" width="13" style="144" customWidth="1"/>
    <col min="38" max="38" width="10.5703125" style="144" customWidth="1"/>
    <col min="39" max="39" width="8.85546875" style="144" customWidth="1"/>
    <col min="40" max="40" width="10" style="144" customWidth="1"/>
    <col min="41" max="41" width="11.140625" style="144" customWidth="1"/>
    <col min="42" max="42" width="10.5703125" style="144" customWidth="1"/>
    <col min="43" max="44" width="9.5703125" style="144" customWidth="1"/>
    <col min="45" max="45" width="9.85546875" style="144" customWidth="1"/>
    <col min="46" max="46" width="12" style="144" customWidth="1"/>
    <col min="47" max="47" width="11.140625" style="144" customWidth="1"/>
  </cols>
  <sheetData>
    <row r="1" spans="1:47" ht="85.5" customHeight="1" x14ac:dyDescent="0.2">
      <c r="A1" s="385" t="s">
        <v>1</v>
      </c>
      <c r="B1" s="360"/>
      <c r="C1" s="360"/>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1"/>
    </row>
    <row r="2" spans="1:47" ht="5.25" customHeight="1" thickBot="1" x14ac:dyDescent="0.25">
      <c r="A2" s="362"/>
      <c r="B2" s="363"/>
      <c r="C2" s="363"/>
      <c r="D2" s="363"/>
      <c r="E2" s="363"/>
      <c r="F2" s="363"/>
      <c r="G2" s="363"/>
      <c r="H2" s="363"/>
      <c r="I2" s="363"/>
      <c r="J2" s="363"/>
      <c r="K2" s="363"/>
      <c r="L2" s="363"/>
      <c r="M2" s="363"/>
      <c r="N2" s="363"/>
      <c r="O2" s="363"/>
      <c r="P2" s="363"/>
      <c r="Q2" s="363"/>
      <c r="R2" s="363"/>
      <c r="S2" s="363"/>
      <c r="T2" s="363"/>
      <c r="U2" s="363"/>
      <c r="V2" s="363"/>
      <c r="W2" s="363"/>
      <c r="X2" s="363"/>
      <c r="Y2" s="363"/>
      <c r="Z2" s="363"/>
      <c r="AA2" s="363"/>
      <c r="AB2" s="364"/>
      <c r="AC2" s="365"/>
    </row>
    <row r="3" spans="1:47" ht="18" customHeight="1" thickBot="1" x14ac:dyDescent="0.25">
      <c r="A3" s="414" t="s">
        <v>2</v>
      </c>
      <c r="B3" s="367"/>
      <c r="C3" s="312">
        <v>46254</v>
      </c>
      <c r="D3" s="313"/>
      <c r="E3" s="313"/>
      <c r="F3" s="314"/>
      <c r="G3" s="314"/>
      <c r="H3" s="315"/>
      <c r="I3" s="316"/>
      <c r="J3" s="316"/>
      <c r="K3" s="316"/>
      <c r="L3" s="316"/>
      <c r="M3" s="316"/>
      <c r="N3" s="316"/>
      <c r="O3" s="316"/>
      <c r="P3" s="316"/>
      <c r="Q3" s="316"/>
      <c r="R3" s="316"/>
      <c r="S3" s="316"/>
      <c r="T3" s="316"/>
      <c r="U3" s="316"/>
      <c r="V3" s="316"/>
      <c r="W3" s="316"/>
      <c r="X3" s="316"/>
      <c r="Y3" s="316"/>
      <c r="Z3" s="316"/>
      <c r="AA3" s="317"/>
      <c r="AB3" s="318"/>
      <c r="AC3" s="186"/>
    </row>
    <row r="4" spans="1:47" ht="29.25" customHeight="1" thickBot="1" x14ac:dyDescent="0.25">
      <c r="A4" s="92" t="s">
        <v>3</v>
      </c>
      <c r="B4" s="390" t="s">
        <v>4</v>
      </c>
      <c r="C4" s="391"/>
      <c r="D4" s="392"/>
      <c r="E4" s="393" t="s">
        <v>5</v>
      </c>
      <c r="F4" s="367"/>
      <c r="G4" s="367"/>
      <c r="H4" s="367"/>
      <c r="I4" s="367"/>
      <c r="J4" s="367"/>
      <c r="K4" s="367"/>
      <c r="L4" s="367"/>
      <c r="M4" s="367"/>
      <c r="N4" s="367"/>
      <c r="O4" s="367"/>
      <c r="P4" s="367"/>
      <c r="Q4" s="367"/>
      <c r="R4" s="367"/>
      <c r="S4" s="367"/>
      <c r="T4" s="367"/>
      <c r="U4" s="367"/>
      <c r="V4" s="367"/>
      <c r="W4" s="367"/>
      <c r="X4" s="367"/>
      <c r="Y4" s="367"/>
      <c r="Z4" s="367"/>
      <c r="AA4" s="367"/>
      <c r="AB4" s="367"/>
      <c r="AC4" s="368"/>
    </row>
    <row r="5" spans="1:47" ht="5.25" customHeight="1" thickBot="1" x14ac:dyDescent="0.25">
      <c r="A5" s="93"/>
      <c r="B5" s="94"/>
      <c r="C5" s="94"/>
      <c r="D5" s="94"/>
      <c r="E5" s="94"/>
      <c r="F5" s="94"/>
      <c r="G5" s="94"/>
      <c r="H5" s="94"/>
      <c r="I5" s="94"/>
      <c r="J5" s="94"/>
      <c r="K5" s="94"/>
      <c r="L5" s="94"/>
      <c r="M5" s="94"/>
      <c r="N5" s="94"/>
      <c r="O5" s="94"/>
      <c r="P5" s="94"/>
      <c r="Q5" s="94"/>
      <c r="R5" s="94"/>
      <c r="S5" s="94"/>
      <c r="T5" s="94"/>
      <c r="U5" s="94"/>
      <c r="V5" s="94"/>
      <c r="W5" s="94"/>
      <c r="X5" s="94"/>
      <c r="Y5" s="94"/>
      <c r="Z5" s="94"/>
      <c r="AA5" s="91"/>
      <c r="AB5" s="95"/>
      <c r="AC5" s="70"/>
    </row>
    <row r="6" spans="1:47" ht="21.75" customHeight="1" thickBot="1" x14ac:dyDescent="0.25">
      <c r="A6" s="415" t="s">
        <v>6</v>
      </c>
      <c r="B6" s="391"/>
      <c r="C6" s="418" t="s">
        <v>76</v>
      </c>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8"/>
    </row>
    <row r="7" spans="1:47" ht="18" customHeight="1" x14ac:dyDescent="0.2">
      <c r="A7" s="374" t="s">
        <v>8</v>
      </c>
      <c r="B7" s="360"/>
      <c r="C7" s="360"/>
      <c r="D7" s="360"/>
      <c r="E7" s="360"/>
      <c r="F7" s="360"/>
      <c r="G7" s="360"/>
      <c r="H7" s="360"/>
      <c r="I7" s="360"/>
      <c r="J7" s="360"/>
      <c r="K7" s="360"/>
      <c r="L7" s="360"/>
      <c r="M7" s="360"/>
      <c r="N7" s="360"/>
      <c r="O7" s="360"/>
      <c r="P7" s="360"/>
      <c r="Q7" s="360"/>
      <c r="R7" s="360"/>
      <c r="S7" s="360"/>
      <c r="T7" s="360"/>
      <c r="U7" s="360"/>
      <c r="V7" s="360"/>
      <c r="W7" s="360"/>
      <c r="X7" s="360"/>
      <c r="Y7" s="360"/>
      <c r="Z7" s="360"/>
      <c r="AA7" s="360"/>
      <c r="AB7" s="96"/>
      <c r="AC7" s="298"/>
    </row>
    <row r="8" spans="1:47" ht="15" customHeight="1" x14ac:dyDescent="0.2">
      <c r="A8" s="2"/>
      <c r="B8" s="299"/>
      <c r="C8" s="299"/>
      <c r="D8" s="299"/>
      <c r="E8" s="299"/>
      <c r="F8" s="299"/>
      <c r="G8" s="299"/>
      <c r="H8" s="299"/>
      <c r="I8" s="299"/>
      <c r="J8" s="299"/>
      <c r="K8" s="299"/>
      <c r="L8" s="299"/>
      <c r="M8" s="299"/>
      <c r="N8" s="299"/>
      <c r="O8" s="299"/>
      <c r="P8" s="299"/>
      <c r="Q8" s="299"/>
      <c r="R8" s="299"/>
      <c r="S8" s="299"/>
      <c r="T8" s="299"/>
      <c r="U8" s="299"/>
      <c r="V8" s="299"/>
      <c r="W8" s="299"/>
      <c r="X8" s="299"/>
      <c r="Y8" s="299"/>
      <c r="Z8" s="299"/>
      <c r="AA8" s="319"/>
      <c r="AB8" s="300"/>
      <c r="AC8" s="184"/>
    </row>
    <row r="9" spans="1:47" ht="15" customHeight="1" x14ac:dyDescent="0.35">
      <c r="A9" s="1"/>
      <c r="B9" s="301"/>
      <c r="C9" s="301"/>
      <c r="D9" s="301"/>
      <c r="E9" s="301"/>
      <c r="F9" s="301"/>
      <c r="G9" s="401" t="s">
        <v>9</v>
      </c>
      <c r="H9" s="376"/>
      <c r="I9" s="376"/>
      <c r="J9" s="377"/>
      <c r="K9" s="3" t="s">
        <v>10</v>
      </c>
      <c r="L9" s="301"/>
      <c r="M9" s="301"/>
      <c r="N9" s="301"/>
      <c r="O9" s="301"/>
      <c r="P9" s="301"/>
      <c r="Q9" s="301"/>
      <c r="R9" s="301"/>
      <c r="S9" s="301"/>
      <c r="T9" s="301"/>
      <c r="U9" s="301"/>
      <c r="V9" s="301"/>
      <c r="W9" s="301"/>
      <c r="X9" s="301"/>
      <c r="Y9" s="301"/>
      <c r="Z9" s="301"/>
      <c r="AA9" s="302"/>
      <c r="AB9" s="300"/>
      <c r="AC9" s="184"/>
    </row>
    <row r="10" spans="1:47" ht="15.75" customHeight="1" x14ac:dyDescent="0.35">
      <c r="A10" s="1"/>
      <c r="B10" s="302"/>
      <c r="C10" s="302"/>
      <c r="D10" s="302"/>
      <c r="E10" s="302"/>
      <c r="F10" s="302"/>
      <c r="G10" s="375" t="s">
        <v>11</v>
      </c>
      <c r="H10" s="376"/>
      <c r="I10" s="376"/>
      <c r="J10" s="377"/>
      <c r="K10" s="4">
        <v>1</v>
      </c>
      <c r="L10" s="302"/>
      <c r="M10" s="302"/>
      <c r="N10" s="302"/>
      <c r="O10" s="302"/>
      <c r="P10" s="302"/>
      <c r="Q10" s="302"/>
      <c r="R10" s="302"/>
      <c r="S10" s="302"/>
      <c r="T10" s="302"/>
      <c r="U10" s="302"/>
      <c r="V10" s="302"/>
      <c r="W10" s="302"/>
      <c r="X10" s="302"/>
      <c r="Y10" s="302"/>
      <c r="Z10" s="302"/>
      <c r="AA10" s="302"/>
      <c r="AB10" s="300"/>
      <c r="AC10" s="184"/>
    </row>
    <row r="11" spans="1:47" ht="15.75" customHeight="1" x14ac:dyDescent="0.35">
      <c r="A11" s="1"/>
      <c r="B11" s="302"/>
      <c r="C11" s="302"/>
      <c r="D11" s="302"/>
      <c r="E11" s="302"/>
      <c r="F11" s="302"/>
      <c r="G11" s="375" t="s">
        <v>12</v>
      </c>
      <c r="H11" s="376"/>
      <c r="I11" s="376"/>
      <c r="J11" s="377"/>
      <c r="K11" s="4">
        <v>22</v>
      </c>
      <c r="L11" s="302"/>
      <c r="M11" s="302"/>
      <c r="N11" s="302"/>
      <c r="O11" s="302"/>
      <c r="P11" s="302"/>
      <c r="Q11" s="302"/>
      <c r="R11" s="302"/>
      <c r="S11" s="302"/>
      <c r="T11" s="302"/>
      <c r="U11" s="302"/>
      <c r="V11" s="302"/>
      <c r="W11" s="302"/>
      <c r="X11" s="302"/>
      <c r="Y11" s="302"/>
      <c r="Z11" s="302"/>
      <c r="AA11" s="302"/>
      <c r="AB11" s="300"/>
      <c r="AC11" s="184"/>
    </row>
    <row r="12" spans="1:47" ht="15.75" customHeight="1" x14ac:dyDescent="0.35">
      <c r="A12" s="1"/>
      <c r="B12" s="302"/>
      <c r="C12" s="302"/>
      <c r="D12" s="302"/>
      <c r="E12" s="302"/>
      <c r="F12" s="302"/>
      <c r="G12" s="375" t="s">
        <v>13</v>
      </c>
      <c r="H12" s="376"/>
      <c r="I12" s="376"/>
      <c r="J12" s="377"/>
      <c r="K12" s="4">
        <v>0</v>
      </c>
      <c r="L12" s="302"/>
      <c r="M12" s="302"/>
      <c r="N12" s="302"/>
      <c r="O12" s="302"/>
      <c r="P12" s="302"/>
      <c r="Q12" s="302"/>
      <c r="R12" s="302"/>
      <c r="S12" s="302"/>
      <c r="T12" s="302"/>
      <c r="U12" s="302"/>
      <c r="V12" s="302"/>
      <c r="W12" s="302"/>
      <c r="X12" s="302"/>
      <c r="Y12" s="302"/>
      <c r="Z12" s="302"/>
      <c r="AA12" s="302"/>
      <c r="AB12" s="300"/>
      <c r="AC12" s="184"/>
    </row>
    <row r="13" spans="1:47" ht="15.75" customHeight="1" x14ac:dyDescent="0.35">
      <c r="A13" s="1"/>
      <c r="B13" s="302"/>
      <c r="C13" s="302"/>
      <c r="D13" s="302"/>
      <c r="E13" s="302"/>
      <c r="F13" s="302"/>
      <c r="G13" s="375" t="s">
        <v>14</v>
      </c>
      <c r="H13" s="376"/>
      <c r="I13" s="376"/>
      <c r="J13" s="377"/>
      <c r="K13" s="4">
        <v>1</v>
      </c>
      <c r="L13" s="302"/>
      <c r="M13" s="302"/>
      <c r="N13" s="302"/>
      <c r="O13" s="302"/>
      <c r="P13" s="302"/>
      <c r="Q13" s="302"/>
      <c r="R13" s="302"/>
      <c r="S13" s="302"/>
      <c r="T13" s="302"/>
      <c r="U13" s="302"/>
      <c r="V13" s="302"/>
      <c r="W13" s="302"/>
      <c r="X13" s="302"/>
      <c r="Y13" s="302"/>
      <c r="Z13" s="302"/>
      <c r="AA13" s="302"/>
      <c r="AB13" s="300"/>
      <c r="AC13" s="184"/>
    </row>
    <row r="14" spans="1:47" ht="15" customHeight="1" x14ac:dyDescent="0.35">
      <c r="A14" s="1"/>
      <c r="B14" s="303"/>
      <c r="C14" s="303"/>
      <c r="D14" s="303"/>
      <c r="E14" s="303"/>
      <c r="F14" s="303"/>
      <c r="G14" s="303"/>
      <c r="H14" s="303"/>
      <c r="I14" s="303"/>
      <c r="J14" s="303"/>
      <c r="K14" s="303"/>
      <c r="L14" s="303"/>
      <c r="M14" s="303"/>
      <c r="N14" s="303"/>
      <c r="O14" s="303"/>
      <c r="P14" s="303"/>
      <c r="Q14" s="303"/>
      <c r="R14" s="303"/>
      <c r="S14" s="303"/>
      <c r="T14" s="303"/>
      <c r="U14" s="303"/>
      <c r="V14" s="303"/>
      <c r="W14" s="303"/>
      <c r="X14" s="303"/>
      <c r="Y14" s="303"/>
      <c r="Z14" s="303"/>
      <c r="AA14" s="319"/>
      <c r="AB14" s="300"/>
      <c r="AC14" s="184"/>
    </row>
    <row r="15" spans="1:47" ht="17.25" customHeight="1" thickBot="1" x14ac:dyDescent="0.25">
      <c r="A15" s="378" t="s">
        <v>15</v>
      </c>
      <c r="B15" s="363"/>
      <c r="C15" s="363"/>
      <c r="D15" s="363"/>
      <c r="E15" s="363"/>
      <c r="F15" s="363"/>
      <c r="G15" s="363"/>
      <c r="H15" s="363"/>
      <c r="I15" s="363"/>
      <c r="J15" s="363"/>
      <c r="K15" s="363"/>
      <c r="L15" s="363"/>
      <c r="M15" s="363"/>
      <c r="N15" s="363"/>
      <c r="O15" s="363"/>
      <c r="P15" s="363"/>
      <c r="Q15" s="363"/>
      <c r="R15" s="363"/>
      <c r="S15" s="363"/>
      <c r="T15" s="363"/>
      <c r="U15" s="363"/>
      <c r="V15" s="363"/>
      <c r="W15" s="363"/>
      <c r="X15" s="363"/>
      <c r="Y15" s="363"/>
      <c r="Z15" s="363"/>
      <c r="AA15" s="363"/>
      <c r="AB15" s="364"/>
      <c r="AC15" s="179"/>
      <c r="AE15" s="382"/>
      <c r="AF15" s="382"/>
      <c r="AG15" s="382"/>
      <c r="AH15" s="382"/>
      <c r="AI15" s="382"/>
      <c r="AJ15" s="382"/>
      <c r="AK15" s="382"/>
      <c r="AL15" s="382"/>
      <c r="AM15" s="382"/>
      <c r="AN15" s="382"/>
      <c r="AO15" s="382"/>
      <c r="AP15" s="382"/>
      <c r="AQ15" s="382"/>
      <c r="AR15" s="382"/>
      <c r="AS15" s="382"/>
      <c r="AT15" s="382"/>
      <c r="AU15" s="382"/>
    </row>
    <row r="16" spans="1:47" ht="6" customHeight="1" thickBot="1" x14ac:dyDescent="0.25">
      <c r="A16" s="5"/>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145"/>
      <c r="AC16" s="145"/>
      <c r="AK16" s="372"/>
      <c r="AL16" s="373"/>
      <c r="AM16" s="373"/>
      <c r="AN16" s="373"/>
      <c r="AO16" s="373"/>
      <c r="AP16" s="373"/>
      <c r="AQ16" s="373"/>
      <c r="AR16" s="373"/>
      <c r="AS16" s="373"/>
      <c r="AT16" s="373"/>
      <c r="AU16" s="373"/>
    </row>
    <row r="17" spans="1:47" ht="85.5" customHeight="1" thickBot="1" x14ac:dyDescent="0.25">
      <c r="A17" s="416" t="s">
        <v>16</v>
      </c>
      <c r="B17" s="391"/>
      <c r="C17" s="391"/>
      <c r="D17" s="392"/>
      <c r="E17" s="386" t="s">
        <v>17</v>
      </c>
      <c r="F17" s="364"/>
      <c r="G17" s="364"/>
      <c r="H17" s="365"/>
      <c r="I17" s="381" t="s">
        <v>18</v>
      </c>
      <c r="J17" s="364"/>
      <c r="K17" s="364"/>
      <c r="L17" s="365"/>
      <c r="M17" s="381" t="s">
        <v>19</v>
      </c>
      <c r="N17" s="364"/>
      <c r="O17" s="364"/>
      <c r="P17" s="365"/>
      <c r="Q17" s="405" t="s">
        <v>20</v>
      </c>
      <c r="R17" s="391"/>
      <c r="S17" s="391"/>
      <c r="T17" s="391"/>
      <c r="U17" s="391"/>
      <c r="V17" s="391"/>
      <c r="W17" s="396"/>
      <c r="X17" s="419" t="s">
        <v>21</v>
      </c>
      <c r="Y17" s="391"/>
      <c r="Z17" s="391"/>
      <c r="AA17" s="391"/>
      <c r="AB17" s="373"/>
      <c r="AC17" s="396"/>
      <c r="AE17" s="433" t="s">
        <v>113</v>
      </c>
      <c r="AF17" s="434"/>
      <c r="AG17" s="434"/>
      <c r="AH17" s="434"/>
      <c r="AI17" s="435"/>
      <c r="AK17" s="369" t="s">
        <v>112</v>
      </c>
      <c r="AL17" s="370"/>
      <c r="AM17" s="370"/>
      <c r="AN17" s="370"/>
      <c r="AO17" s="370"/>
      <c r="AP17" s="370"/>
      <c r="AQ17" s="370"/>
      <c r="AR17" s="370"/>
      <c r="AS17" s="370"/>
      <c r="AT17" s="370"/>
      <c r="AU17" s="371"/>
    </row>
    <row r="18" spans="1:47" ht="48" customHeight="1" thickBot="1" x14ac:dyDescent="0.25">
      <c r="A18" s="6" t="s">
        <v>22</v>
      </c>
      <c r="B18" s="7" t="s">
        <v>23</v>
      </c>
      <c r="C18" s="7" t="s">
        <v>24</v>
      </c>
      <c r="D18" s="8" t="s">
        <v>114</v>
      </c>
      <c r="E18" s="52" t="s">
        <v>25</v>
      </c>
      <c r="F18" s="80" t="s">
        <v>26</v>
      </c>
      <c r="G18" s="80" t="s">
        <v>27</v>
      </c>
      <c r="H18" s="140" t="s">
        <v>28</v>
      </c>
      <c r="I18" s="52" t="s">
        <v>25</v>
      </c>
      <c r="J18" s="80" t="s">
        <v>26</v>
      </c>
      <c r="K18" s="80" t="s">
        <v>27</v>
      </c>
      <c r="L18" s="140" t="s">
        <v>28</v>
      </c>
      <c r="M18" s="52" t="s">
        <v>25</v>
      </c>
      <c r="N18" s="80" t="s">
        <v>26</v>
      </c>
      <c r="O18" s="80" t="s">
        <v>27</v>
      </c>
      <c r="P18" s="140" t="s">
        <v>28</v>
      </c>
      <c r="Q18" s="37" t="s">
        <v>29</v>
      </c>
      <c r="R18" s="78" t="s">
        <v>30</v>
      </c>
      <c r="S18" s="78" t="s">
        <v>31</v>
      </c>
      <c r="T18" s="78" t="s">
        <v>32</v>
      </c>
      <c r="U18" s="38" t="s">
        <v>26</v>
      </c>
      <c r="V18" s="38" t="s">
        <v>27</v>
      </c>
      <c r="W18" s="47" t="s">
        <v>28</v>
      </c>
      <c r="X18" s="52" t="s">
        <v>33</v>
      </c>
      <c r="Y18" s="80" t="s">
        <v>34</v>
      </c>
      <c r="Z18" s="80" t="s">
        <v>35</v>
      </c>
      <c r="AA18" s="80" t="s">
        <v>28</v>
      </c>
      <c r="AB18" s="80" t="s">
        <v>36</v>
      </c>
      <c r="AC18" s="140" t="s">
        <v>37</v>
      </c>
      <c r="AE18" s="52" t="s">
        <v>33</v>
      </c>
      <c r="AF18" s="80" t="s">
        <v>34</v>
      </c>
      <c r="AG18" s="80" t="s">
        <v>35</v>
      </c>
      <c r="AH18" s="80" t="s">
        <v>28</v>
      </c>
      <c r="AI18" s="140" t="s">
        <v>36</v>
      </c>
      <c r="AK18" s="151" t="s">
        <v>38</v>
      </c>
      <c r="AL18" s="152" t="s">
        <v>39</v>
      </c>
      <c r="AM18" s="152" t="s">
        <v>40</v>
      </c>
      <c r="AN18" s="152" t="s">
        <v>41</v>
      </c>
      <c r="AO18" s="152" t="s">
        <v>42</v>
      </c>
      <c r="AP18" s="152" t="s">
        <v>44</v>
      </c>
      <c r="AQ18" s="152" t="s">
        <v>45</v>
      </c>
      <c r="AR18" s="152" t="s">
        <v>46</v>
      </c>
      <c r="AS18" s="152" t="s">
        <v>47</v>
      </c>
      <c r="AT18" s="152" t="s">
        <v>43</v>
      </c>
      <c r="AU18" s="153" t="s">
        <v>0</v>
      </c>
    </row>
    <row r="19" spans="1:47" s="182" customFormat="1" ht="60" customHeight="1" x14ac:dyDescent="0.2">
      <c r="A19" s="218">
        <v>1</v>
      </c>
      <c r="B19" s="250" t="s">
        <v>77</v>
      </c>
      <c r="C19" s="220" t="s">
        <v>53</v>
      </c>
      <c r="D19" s="251">
        <v>1</v>
      </c>
      <c r="E19" s="252">
        <v>2689500</v>
      </c>
      <c r="F19" s="222">
        <f t="shared" ref="F19:F26" si="0">ROUND(E19*0.19,0)</f>
        <v>511005</v>
      </c>
      <c r="G19" s="222">
        <f t="shared" ref="G19:G26" si="1">ROUND(E19+F19,0)</f>
        <v>3200505</v>
      </c>
      <c r="H19" s="223">
        <f t="shared" ref="H19:H26" si="2">ROUND(G19*D19,0)</f>
        <v>3200505</v>
      </c>
      <c r="I19" s="253">
        <v>780000</v>
      </c>
      <c r="J19" s="254">
        <f t="shared" ref="J19:J26" si="3">ROUND(I19*0.19,0)</f>
        <v>148200</v>
      </c>
      <c r="K19" s="254">
        <f t="shared" ref="K19:K26" si="4">ROUND(I19+J19,0)</f>
        <v>928200</v>
      </c>
      <c r="L19" s="255">
        <f t="shared" ref="L19:L26" si="5">ROUND(K19*D19,0)</f>
        <v>928200</v>
      </c>
      <c r="M19" s="252">
        <v>5010000</v>
      </c>
      <c r="N19" s="222">
        <f t="shared" ref="N19:N26" si="6">ROUND(M19*0.19,0)</f>
        <v>951900</v>
      </c>
      <c r="O19" s="222">
        <f t="shared" ref="O19:O26" si="7">ROUND(M19+N19,0)</f>
        <v>5961900</v>
      </c>
      <c r="P19" s="256">
        <f t="shared" ref="P19:P26" si="8">ROUND(O19*D19,0)</f>
        <v>5961900</v>
      </c>
      <c r="Q19" s="257">
        <v>714286</v>
      </c>
      <c r="R19" s="258">
        <v>150.99</v>
      </c>
      <c r="S19" s="204">
        <v>160.41999999999999</v>
      </c>
      <c r="T19" s="259">
        <f t="shared" ref="T19:T25" si="9">+(Q19*S19)/R19</f>
        <v>758896.35154645995</v>
      </c>
      <c r="U19" s="260">
        <f t="shared" ref="U19:U25" si="10">ROUND(T19*0.19,0)</f>
        <v>144190</v>
      </c>
      <c r="V19" s="260">
        <f t="shared" ref="V19:V25" si="11">ROUND(T19+U19,0)</f>
        <v>903086</v>
      </c>
      <c r="W19" s="261">
        <f t="shared" ref="W19:W26" si="12">ROUND(V19*D19,0)</f>
        <v>903086</v>
      </c>
      <c r="X19" s="262">
        <f t="shared" ref="X19:X26" si="13">AVERAGE(E19,I19,M19)</f>
        <v>2826500</v>
      </c>
      <c r="Y19" s="254">
        <f t="shared" ref="Y19:Y26" si="14">ROUND(X19*0.19,0)</f>
        <v>537035</v>
      </c>
      <c r="Z19" s="254">
        <f t="shared" ref="Z19:Z26" si="15">ROUND(X19+Y19,0)</f>
        <v>3363535</v>
      </c>
      <c r="AA19" s="263">
        <f t="shared" ref="AA19:AA26" si="16">ROUND(Z19*D19,0)</f>
        <v>3363535</v>
      </c>
      <c r="AB19" s="264">
        <f t="shared" ref="AB19:AB26" si="17">STDEV(E19,I19,M19)</f>
        <v>2118325.2229060577</v>
      </c>
      <c r="AC19" s="265">
        <f t="shared" ref="AC19:AC26" si="18">IFERROR(AB19/X19,0)</f>
        <v>0.74945169747251295</v>
      </c>
      <c r="AE19" s="262">
        <f>IF(AND(AC19&gt;30%,AC19&lt;=60%),GEOMEAN(E19,I19,M19),IF(AC19&lt;=30%,AVERAGE(E19,I19,M19),AT19))</f>
        <v>1409465.4505154865</v>
      </c>
      <c r="AF19" s="254">
        <f t="shared" ref="AF19:AF26" si="19">ROUND(AE19*0.19,0)</f>
        <v>267798</v>
      </c>
      <c r="AG19" s="254">
        <f t="shared" ref="AG19:AG26" si="20">ROUND(AE19+AF19,0)</f>
        <v>1677263</v>
      </c>
      <c r="AH19" s="266">
        <f t="shared" ref="AH19:AH26" si="21">ROUND(AG19*D19,0)</f>
        <v>1677263</v>
      </c>
      <c r="AI19" s="350">
        <v>0</v>
      </c>
      <c r="AK19" s="267">
        <f>AVERAGE(E19,I19,M19,T19)</f>
        <v>2309599.0878866152</v>
      </c>
      <c r="AL19" s="268">
        <f>STDEV(E19,I19,M19,T19)</f>
        <v>2015013.8242142648</v>
      </c>
      <c r="AM19" s="269">
        <f t="shared" ref="AM19:AM26" si="22">IFERROR(AL19/AK19,"")</f>
        <v>0.87245177519449535</v>
      </c>
      <c r="AN19" s="268">
        <f t="shared" ref="AN19:AN25" si="23">AK19-AL19</f>
        <v>294585.26367235044</v>
      </c>
      <c r="AO19" s="268">
        <f t="shared" ref="AO19:AO25" si="24">AK19+AL19</f>
        <v>4324612.9121008795</v>
      </c>
      <c r="AP19" s="270" t="str">
        <f>IF(AM19&gt;60%,IF(AND(ISNUMBER(E19),E19&gt;=AN19,E19&lt;=AO19),"PERMANECE",IF(ISNUMBER(E19),"SE ACOTA","SIN DATO")),"NO APLICA")</f>
        <v>PERMANECE</v>
      </c>
      <c r="AQ19" s="270" t="str">
        <f>IF(AM19&gt;60%,IF(AND(ISNUMBER(I19),I19&gt;=AN19,I19&lt;=AO19),"PERMANECE",IF(ISNUMBER(I19),"SE ACOTA","SIN DATO")),"NO APLICA")</f>
        <v>PERMANECE</v>
      </c>
      <c r="AR19" s="270" t="str">
        <f>IF(AM19&gt;60%,IF(AND(ISNUMBER(M19),M19&gt;=AN19,M19&lt;=AO19),"PERMANECE",IF(ISNUMBER(M19),"SE ACOTA","SIN DATO")),"NO APLICA")</f>
        <v>SE ACOTA</v>
      </c>
      <c r="AS19" s="270" t="str">
        <f>IF(AM19&gt;60%,IF(AND(ISNUMBER(T19),T19&gt;=AN19,T19&lt;=AO19),"PERMANECE",IF(ISNUMBER(T19),"SE ACOTA","SIN DATO")),"NO APLICA")</f>
        <v>PERMANECE</v>
      </c>
      <c r="AT19" s="271">
        <f>IF(AM19&gt;60%,IFERROR((IF(AND(ISNUMBER(E19),E19&gt;=AN19,E19&lt;=AO19),E19,0) + IF(AND(ISNUMBER(I19),I19&gt;=AN19,I19&lt;=AO19),I19,0) + IF(AND(ISNUMBER(M19),M19&gt;=AN19,M19&lt;=AO19),M19,0) + IF(AND(ISNUMBER(T19),T19&gt;=AN19,T19&lt;=AO19),T19,0))/(--AND(ISNUMBER(E19),E19&gt;=AN19,E19&lt;=AO19) + --AND(ISNUMBER(I19),I19&gt;=AN19,I19&lt;=AO19) + --AND(ISNUMBER(M19),M19&gt;=AN19,M19&lt;=AO19) + --AND(ISNUMBER(T19),T19&gt;=AN19,T19&lt;=AO19)),""),AVERAGE(E19,I19,M19,T19))</f>
        <v>1409465.4505154865</v>
      </c>
      <c r="AU19" s="272">
        <f>IF(AM19&gt;60%,IF((--AND(ISNUMBER(E19),E19&gt;=AN19,E19&lt;=AO19) + --AND(ISNUMBER(I19),I19&gt;=AN19,I19&lt;=AO19) + --AND(ISNUMBER(M19),M19&gt;=AN19,M19&lt;=AO19) + --AND(ISNUMBER(T19),T19&gt;=AN19,T19&lt;=AO19))&gt;=2,SQRT((IF(AND(ISNUMBER(E19),E19&gt;=AN19,E19&lt;=AO19),(E19-AT19)^2,0) + IF(AND(ISNUMBER(I19),I19&gt;=AN19,I19&lt;=AO19),(I19-AT19)^2,0) + IF(AND(ISNUMBER(M19),M19&gt;=AN19,M19&lt;=AO19),(M19-AT19)^2,0) + IF(AND(ISNUMBER(T19),T19&gt;=AN19,T19&lt;=AO19),(T19-AT19)^2,0))/((--AND(ISNUMBER(E19),E19&gt;=AN19,E19&lt;=AO19) + --AND(ISNUMBER(I19),I19&gt;=AN19,I19&lt;=AO19) + --AND(ISNUMBER(M19),M19&gt;=AN19,M19&lt;=AO19) + --AND(ISNUMBER(T19),T19&gt;=AN19,T19&lt;=AO19))-1))/AT19,""),AM19)</f>
        <v>0.78653411162211639</v>
      </c>
    </row>
    <row r="20" spans="1:47" ht="24" customHeight="1" x14ac:dyDescent="0.2">
      <c r="A20" s="111">
        <v>2</v>
      </c>
      <c r="B20" s="134" t="s">
        <v>78</v>
      </c>
      <c r="C20" s="113" t="s">
        <v>53</v>
      </c>
      <c r="D20" s="114">
        <v>1</v>
      </c>
      <c r="E20" s="74">
        <v>1030000</v>
      </c>
      <c r="F20" s="115">
        <f t="shared" si="0"/>
        <v>195700</v>
      </c>
      <c r="G20" s="115">
        <f t="shared" si="1"/>
        <v>1225700</v>
      </c>
      <c r="H20" s="116">
        <f t="shared" si="2"/>
        <v>1225700</v>
      </c>
      <c r="I20" s="28">
        <v>780000</v>
      </c>
      <c r="J20" s="115">
        <f t="shared" si="3"/>
        <v>148200</v>
      </c>
      <c r="K20" s="115">
        <f t="shared" si="4"/>
        <v>928200</v>
      </c>
      <c r="L20" s="116">
        <f t="shared" si="5"/>
        <v>928200</v>
      </c>
      <c r="M20" s="74">
        <v>2010000</v>
      </c>
      <c r="N20" s="115">
        <f t="shared" si="6"/>
        <v>381900</v>
      </c>
      <c r="O20" s="115">
        <f t="shared" si="7"/>
        <v>2391900</v>
      </c>
      <c r="P20" s="118">
        <f t="shared" si="8"/>
        <v>2391900</v>
      </c>
      <c r="Q20" s="137">
        <v>630252</v>
      </c>
      <c r="R20" s="138">
        <v>150.99</v>
      </c>
      <c r="S20" s="23">
        <v>160.41999999999999</v>
      </c>
      <c r="T20" s="79">
        <f t="shared" si="9"/>
        <v>669614.05285118206</v>
      </c>
      <c r="U20" s="36">
        <f t="shared" si="10"/>
        <v>127227</v>
      </c>
      <c r="V20" s="36">
        <f t="shared" si="11"/>
        <v>796841</v>
      </c>
      <c r="W20" s="46">
        <f t="shared" si="12"/>
        <v>796841</v>
      </c>
      <c r="X20" s="57">
        <f t="shared" si="13"/>
        <v>1273333.3333333333</v>
      </c>
      <c r="Y20" s="117">
        <f t="shared" si="14"/>
        <v>241933</v>
      </c>
      <c r="Z20" s="117">
        <f t="shared" si="15"/>
        <v>1515266</v>
      </c>
      <c r="AA20" s="118">
        <f t="shared" si="16"/>
        <v>1515266</v>
      </c>
      <c r="AB20" s="82">
        <f t="shared" si="17"/>
        <v>650102.55601199833</v>
      </c>
      <c r="AC20" s="58">
        <f t="shared" si="18"/>
        <v>0.51055174555916105</v>
      </c>
      <c r="AE20" s="57">
        <f>GEOMEAN(E20,I20,M20)</f>
        <v>1173210.5551912244</v>
      </c>
      <c r="AF20" s="117">
        <f t="shared" si="19"/>
        <v>222910</v>
      </c>
      <c r="AG20" s="117">
        <f t="shared" si="20"/>
        <v>1396121</v>
      </c>
      <c r="AH20" s="188">
        <f t="shared" si="21"/>
        <v>1396121</v>
      </c>
      <c r="AI20" s="351">
        <f>STDEV(E20,I20,M20)</f>
        <v>650102.55601199833</v>
      </c>
      <c r="AK20" s="168"/>
      <c r="AL20" s="169"/>
      <c r="AM20" s="154"/>
      <c r="AN20" s="169"/>
      <c r="AO20" s="169"/>
      <c r="AP20" s="155"/>
      <c r="AQ20" s="155"/>
      <c r="AR20" s="155"/>
      <c r="AS20" s="155"/>
      <c r="AT20" s="176"/>
      <c r="AU20" s="156"/>
    </row>
    <row r="21" spans="1:47" s="182" customFormat="1" ht="36" customHeight="1" x14ac:dyDescent="0.2">
      <c r="A21" s="193">
        <v>3</v>
      </c>
      <c r="B21" s="194" t="s">
        <v>79</v>
      </c>
      <c r="C21" s="195" t="s">
        <v>53</v>
      </c>
      <c r="D21" s="251">
        <v>1</v>
      </c>
      <c r="E21" s="252">
        <v>4010000</v>
      </c>
      <c r="F21" s="222">
        <f t="shared" si="0"/>
        <v>761900</v>
      </c>
      <c r="G21" s="222">
        <f t="shared" si="1"/>
        <v>4771900</v>
      </c>
      <c r="H21" s="223">
        <f t="shared" si="2"/>
        <v>4771900</v>
      </c>
      <c r="I21" s="273">
        <v>1200000</v>
      </c>
      <c r="J21" s="222">
        <f t="shared" si="3"/>
        <v>228000</v>
      </c>
      <c r="K21" s="222">
        <f t="shared" si="4"/>
        <v>1428000</v>
      </c>
      <c r="L21" s="223">
        <f t="shared" si="5"/>
        <v>1428000</v>
      </c>
      <c r="M21" s="252">
        <v>1132500</v>
      </c>
      <c r="N21" s="222">
        <f t="shared" si="6"/>
        <v>215175</v>
      </c>
      <c r="O21" s="222">
        <f t="shared" si="7"/>
        <v>1347675</v>
      </c>
      <c r="P21" s="256">
        <f t="shared" si="8"/>
        <v>1347675</v>
      </c>
      <c r="Q21" s="202">
        <v>630252</v>
      </c>
      <c r="R21" s="203">
        <v>150.99</v>
      </c>
      <c r="S21" s="204">
        <v>160.41999999999999</v>
      </c>
      <c r="T21" s="205">
        <f t="shared" si="9"/>
        <v>669614.05285118206</v>
      </c>
      <c r="U21" s="206">
        <f t="shared" si="10"/>
        <v>127227</v>
      </c>
      <c r="V21" s="206">
        <f t="shared" si="11"/>
        <v>796841</v>
      </c>
      <c r="W21" s="207">
        <f t="shared" si="12"/>
        <v>796841</v>
      </c>
      <c r="X21" s="208">
        <f t="shared" si="13"/>
        <v>2114166.6666666665</v>
      </c>
      <c r="Y21" s="198">
        <f t="shared" si="14"/>
        <v>401692</v>
      </c>
      <c r="Z21" s="198">
        <f t="shared" si="15"/>
        <v>2515859</v>
      </c>
      <c r="AA21" s="256">
        <f t="shared" si="16"/>
        <v>2515859</v>
      </c>
      <c r="AB21" s="209">
        <f t="shared" si="17"/>
        <v>1642186.677370552</v>
      </c>
      <c r="AC21" s="274">
        <f t="shared" si="18"/>
        <v>0.77675365110156191</v>
      </c>
      <c r="AE21" s="208">
        <f>IF(AND(AC21&gt;30%,AC21&lt;=60%),GEOMEAN(E21,I21,M21),IF(AC21&lt;=30%,AVERAGE(E21,I21,M21),AT21))</f>
        <v>1000704.6842837273</v>
      </c>
      <c r="AF21" s="198">
        <f t="shared" si="19"/>
        <v>190134</v>
      </c>
      <c r="AG21" s="198">
        <f t="shared" si="20"/>
        <v>1190839</v>
      </c>
      <c r="AH21" s="211">
        <f t="shared" si="21"/>
        <v>1190839</v>
      </c>
      <c r="AI21" s="352">
        <v>0</v>
      </c>
      <c r="AK21" s="275">
        <f>AVERAGE(E21,I21,M21,T21)</f>
        <v>1753028.5132127956</v>
      </c>
      <c r="AL21" s="276">
        <f>STDEV(E21,I21,M21,T21)</f>
        <v>1523001.7900216584</v>
      </c>
      <c r="AM21" s="277">
        <f t="shared" si="22"/>
        <v>0.86878323914448796</v>
      </c>
      <c r="AN21" s="276">
        <f t="shared" si="23"/>
        <v>230026.72319113719</v>
      </c>
      <c r="AO21" s="276">
        <f t="shared" si="24"/>
        <v>3276030.3032344542</v>
      </c>
      <c r="AP21" s="278" t="str">
        <f>IF(AM21&gt;60%,IF(AND(ISNUMBER(E21),E21&gt;=AN21,E21&lt;=AO21),"PERMANECE",IF(ISNUMBER(E21),"SE ACOTA","SIN DATO")),"NO APLICA")</f>
        <v>SE ACOTA</v>
      </c>
      <c r="AQ21" s="278" t="str">
        <f>IF(AM21&gt;60%,IF(AND(ISNUMBER(I21),I21&gt;=AN21,I21&lt;=AO21),"PERMANECE",IF(ISNUMBER(I21),"SE ACOTA","SIN DATO")),"NO APLICA")</f>
        <v>PERMANECE</v>
      </c>
      <c r="AR21" s="278" t="str">
        <f>IF(AM21&gt;60%,IF(AND(ISNUMBER(M21),M21&gt;=AN21,M21&lt;=AO21),"PERMANECE",IF(ISNUMBER(M21),"SE ACOTA","SIN DATO")),"NO APLICA")</f>
        <v>PERMANECE</v>
      </c>
      <c r="AS21" s="278" t="str">
        <f>IF(AM21&gt;60%,IF(AND(ISNUMBER(T21),T21&gt;=AN21,T21&lt;=AO21),"PERMANECE",IF(ISNUMBER(T21),"SE ACOTA","SIN DATO")),"NO APLICA")</f>
        <v>PERMANECE</v>
      </c>
      <c r="AT21" s="279">
        <f>IF(AM21&gt;60%,IFERROR((IF(AND(ISNUMBER(E21),E21&gt;=AN21,E21&lt;=AO21),E21,0) + IF(AND(ISNUMBER(I21),I21&gt;=AN21,I21&lt;=AO21),I21,0) + IF(AND(ISNUMBER(M21),M21&gt;=AN21,M21&lt;=AO21),M21,0) + IF(AND(ISNUMBER(T21),T21&gt;=AN21,T21&lt;=AO21),T21,0))/(--AND(ISNUMBER(E21),E21&gt;=AN21,E21&lt;=AO21) + --AND(ISNUMBER(I21),I21&gt;=AN21,I21&lt;=AO21) + --AND(ISNUMBER(M21),M21&gt;=AN21,M21&lt;=AO21) + --AND(ISNUMBER(T21),T21&gt;=AN21,T21&lt;=AO21)),""),AVERAGE(E21,I21,M21,T21))</f>
        <v>1000704.6842837273</v>
      </c>
      <c r="AU21" s="280">
        <f>IF(AM21&gt;60%,IF((--AND(ISNUMBER(E21),E21&gt;=AN21,E21&lt;=AO21) + --AND(ISNUMBER(I21),I21&gt;=AN21,I21&lt;=AO21) + --AND(ISNUMBER(M21),M21&gt;=AN21,M21&lt;=AO21) + --AND(ISNUMBER(T21),T21&gt;=AN21,T21&lt;=AO21))&gt;=2,SQRT((IF(AND(ISNUMBER(E21),E21&gt;=AN21,E21&lt;=AO21),(E21-AT21)^2,0) + IF(AND(ISNUMBER(I21),I21&gt;=AN21,I21&lt;=AO21),(I21-AT21)^2,0) + IF(AND(ISNUMBER(M21),M21&gt;=AN21,M21&lt;=AO21),(M21-AT21)^2,0) + IF(AND(ISNUMBER(T21),T21&gt;=AN21,T21&lt;=AO21),(T21-AT21)^2,0))/((--AND(ISNUMBER(E21),E21&gt;=AN21,E21&lt;=AO21) + --AND(ISNUMBER(I21),I21&gt;=AN21,I21&lt;=AO21) + --AND(ISNUMBER(M21),M21&gt;=AN21,M21&lt;=AO21) + --AND(ISNUMBER(T21),T21&gt;=AN21,T21&lt;=AO21))-1))/AT21,""),AM21)</f>
        <v>0.28850903550488533</v>
      </c>
    </row>
    <row r="22" spans="1:47" ht="24" customHeight="1" x14ac:dyDescent="0.2">
      <c r="A22" s="111">
        <v>4</v>
      </c>
      <c r="B22" s="134" t="s">
        <v>80</v>
      </c>
      <c r="C22" s="113" t="s">
        <v>81</v>
      </c>
      <c r="D22" s="114">
        <v>1</v>
      </c>
      <c r="E22" s="74">
        <v>185100</v>
      </c>
      <c r="F22" s="115">
        <f t="shared" si="0"/>
        <v>35169</v>
      </c>
      <c r="G22" s="115">
        <f t="shared" si="1"/>
        <v>220269</v>
      </c>
      <c r="H22" s="116">
        <f t="shared" si="2"/>
        <v>220269</v>
      </c>
      <c r="I22" s="28">
        <v>250000</v>
      </c>
      <c r="J22" s="115">
        <f t="shared" si="3"/>
        <v>47500</v>
      </c>
      <c r="K22" s="115">
        <f t="shared" si="4"/>
        <v>297500</v>
      </c>
      <c r="L22" s="116">
        <f t="shared" si="5"/>
        <v>297500</v>
      </c>
      <c r="M22" s="74">
        <v>243000</v>
      </c>
      <c r="N22" s="115">
        <f t="shared" si="6"/>
        <v>46170</v>
      </c>
      <c r="O22" s="115">
        <f t="shared" si="7"/>
        <v>289170</v>
      </c>
      <c r="P22" s="118">
        <f t="shared" si="8"/>
        <v>289170</v>
      </c>
      <c r="Q22" s="137">
        <v>151261</v>
      </c>
      <c r="R22" s="138">
        <v>150.99</v>
      </c>
      <c r="S22" s="23">
        <v>160.41999999999999</v>
      </c>
      <c r="T22" s="79">
        <f t="shared" si="9"/>
        <v>160707.92516060662</v>
      </c>
      <c r="U22" s="36">
        <f t="shared" si="10"/>
        <v>30535</v>
      </c>
      <c r="V22" s="36">
        <f t="shared" si="11"/>
        <v>191243</v>
      </c>
      <c r="W22" s="46">
        <f t="shared" si="12"/>
        <v>191243</v>
      </c>
      <c r="X22" s="57">
        <f t="shared" si="13"/>
        <v>226033.33333333334</v>
      </c>
      <c r="Y22" s="117">
        <f t="shared" si="14"/>
        <v>42946</v>
      </c>
      <c r="Z22" s="117">
        <f t="shared" si="15"/>
        <v>268979</v>
      </c>
      <c r="AA22" s="118">
        <f t="shared" si="16"/>
        <v>268979</v>
      </c>
      <c r="AB22" s="82">
        <f t="shared" si="17"/>
        <v>35621.669434956697</v>
      </c>
      <c r="AC22" s="58">
        <f t="shared" si="18"/>
        <v>0.15759476228413227</v>
      </c>
      <c r="AE22" s="57">
        <f>AVERAGE(E22,I22,M22)</f>
        <v>226033.33333333334</v>
      </c>
      <c r="AF22" s="117">
        <f t="shared" si="19"/>
        <v>42946</v>
      </c>
      <c r="AG22" s="117">
        <f t="shared" si="20"/>
        <v>268979</v>
      </c>
      <c r="AH22" s="188">
        <f t="shared" si="21"/>
        <v>268979</v>
      </c>
      <c r="AI22" s="351">
        <f>STDEV(E22,I22,M22)</f>
        <v>35621.669434956697</v>
      </c>
      <c r="AK22" s="168"/>
      <c r="AL22" s="169"/>
      <c r="AM22" s="154"/>
      <c r="AN22" s="169"/>
      <c r="AO22" s="169"/>
      <c r="AP22" s="155"/>
      <c r="AQ22" s="155"/>
      <c r="AR22" s="155"/>
      <c r="AS22" s="155"/>
      <c r="AT22" s="176"/>
      <c r="AU22" s="156"/>
    </row>
    <row r="23" spans="1:47" s="182" customFormat="1" ht="28.5" customHeight="1" x14ac:dyDescent="0.2">
      <c r="A23" s="193">
        <v>5</v>
      </c>
      <c r="B23" s="194" t="s">
        <v>82</v>
      </c>
      <c r="C23" s="195" t="s">
        <v>53</v>
      </c>
      <c r="D23" s="251">
        <v>1</v>
      </c>
      <c r="E23" s="252">
        <v>2370800</v>
      </c>
      <c r="F23" s="222">
        <f t="shared" si="0"/>
        <v>450452</v>
      </c>
      <c r="G23" s="222">
        <f t="shared" si="1"/>
        <v>2821252</v>
      </c>
      <c r="H23" s="223">
        <f t="shared" si="2"/>
        <v>2821252</v>
      </c>
      <c r="I23" s="273">
        <v>690000</v>
      </c>
      <c r="J23" s="222">
        <f t="shared" si="3"/>
        <v>131100</v>
      </c>
      <c r="K23" s="222">
        <f t="shared" si="4"/>
        <v>821100</v>
      </c>
      <c r="L23" s="223">
        <f t="shared" si="5"/>
        <v>821100</v>
      </c>
      <c r="M23" s="252">
        <v>4080000</v>
      </c>
      <c r="N23" s="222">
        <f t="shared" si="6"/>
        <v>775200</v>
      </c>
      <c r="O23" s="222">
        <f t="shared" si="7"/>
        <v>4855200</v>
      </c>
      <c r="P23" s="256">
        <f t="shared" si="8"/>
        <v>4855200</v>
      </c>
      <c r="Q23" s="202">
        <v>840336</v>
      </c>
      <c r="R23" s="203">
        <v>150.99</v>
      </c>
      <c r="S23" s="204">
        <v>160.41999999999999</v>
      </c>
      <c r="T23" s="205">
        <f t="shared" si="9"/>
        <v>892818.73713490937</v>
      </c>
      <c r="U23" s="206">
        <f t="shared" si="10"/>
        <v>169636</v>
      </c>
      <c r="V23" s="206">
        <f t="shared" si="11"/>
        <v>1062455</v>
      </c>
      <c r="W23" s="207">
        <f t="shared" si="12"/>
        <v>1062455</v>
      </c>
      <c r="X23" s="208">
        <f t="shared" si="13"/>
        <v>2380266.6666666665</v>
      </c>
      <c r="Y23" s="198">
        <f t="shared" si="14"/>
        <v>452251</v>
      </c>
      <c r="Z23" s="198">
        <f t="shared" si="15"/>
        <v>2832518</v>
      </c>
      <c r="AA23" s="256">
        <f t="shared" si="16"/>
        <v>2832518</v>
      </c>
      <c r="AB23" s="209">
        <f t="shared" si="17"/>
        <v>1695019.8268260264</v>
      </c>
      <c r="AC23" s="274">
        <f t="shared" si="18"/>
        <v>0.7121134159307192</v>
      </c>
      <c r="AE23" s="208">
        <f>IF(AND(AC23&gt;30%,AC23&lt;=60%),GEOMEAN(E23,I23,M23),IF(AC23&lt;=30%,AVERAGE(E23,I23,M23),AT23))</f>
        <v>1317872.912378303</v>
      </c>
      <c r="AF23" s="198">
        <f t="shared" si="19"/>
        <v>250396</v>
      </c>
      <c r="AG23" s="198">
        <f t="shared" si="20"/>
        <v>1568269</v>
      </c>
      <c r="AH23" s="211">
        <f t="shared" si="21"/>
        <v>1568269</v>
      </c>
      <c r="AI23" s="352">
        <v>0</v>
      </c>
      <c r="AK23" s="275">
        <f>AVERAGE(E23,I23,M23,T23)</f>
        <v>2008404.6842837273</v>
      </c>
      <c r="AL23" s="276">
        <f>STDEV(E23,I23,M23,T23)</f>
        <v>1571152.4893071223</v>
      </c>
      <c r="AM23" s="277">
        <f t="shared" si="22"/>
        <v>0.78228879946446372</v>
      </c>
      <c r="AN23" s="276">
        <f t="shared" si="23"/>
        <v>437252.19497660501</v>
      </c>
      <c r="AO23" s="276">
        <f t="shared" si="24"/>
        <v>3579557.1735908496</v>
      </c>
      <c r="AP23" s="278" t="str">
        <f>IF(AM23&gt;60%,IF(AND(ISNUMBER(E23),E23&gt;=AN23,E23&lt;=AO23),"PERMANECE",IF(ISNUMBER(E23),"SE ACOTA","SIN DATO")),"NO APLICA")</f>
        <v>PERMANECE</v>
      </c>
      <c r="AQ23" s="278" t="str">
        <f>IF(AM23&gt;60%,IF(AND(ISNUMBER(I23),I23&gt;=AN23,I23&lt;=AO23),"PERMANECE",IF(ISNUMBER(I23),"SE ACOTA","SIN DATO")),"NO APLICA")</f>
        <v>PERMANECE</v>
      </c>
      <c r="AR23" s="278" t="str">
        <f>IF(AM23&gt;60%,IF(AND(ISNUMBER(M23),M23&gt;=AN23,M23&lt;=AO23),"PERMANECE",IF(ISNUMBER(M23),"SE ACOTA","SIN DATO")),"NO APLICA")</f>
        <v>SE ACOTA</v>
      </c>
      <c r="AS23" s="278" t="str">
        <f>IF(AM23&gt;60%,IF(AND(ISNUMBER(T23),T23&gt;=AN23,T23&lt;=AO23),"PERMANECE",IF(ISNUMBER(T23),"SE ACOTA","SIN DATO")),"NO APLICA")</f>
        <v>PERMANECE</v>
      </c>
      <c r="AT23" s="279">
        <f>IF(AM23&gt;60%,IFERROR((IF(AND(ISNUMBER(E23),E23&gt;=AN23,E23&lt;=AO23),E23,0) + IF(AND(ISNUMBER(I23),I23&gt;=AN23,I23&lt;=AO23),I23,0) + IF(AND(ISNUMBER(M23),M23&gt;=AN23,M23&lt;=AO23),M23,0) + IF(AND(ISNUMBER(T23),T23&gt;=AN23,T23&lt;=AO23),T23,0))/(--AND(ISNUMBER(E23),E23&gt;=AN23,E23&lt;=AO23) + --AND(ISNUMBER(I23),I23&gt;=AN23,I23&lt;=AO23) + --AND(ISNUMBER(M23),M23&gt;=AN23,M23&lt;=AO23) + --AND(ISNUMBER(T23),T23&gt;=AN23,T23&lt;=AO23)),""),AVERAGE(E23,I23,M23,T23))</f>
        <v>1317872.912378303</v>
      </c>
      <c r="AU23" s="280">
        <f>IF(AM23&gt;60%,IF((--AND(ISNUMBER(E23),E23&gt;=AN23,E23&lt;=AO23) + --AND(ISNUMBER(I23),I23&gt;=AN23,I23&lt;=AO23) + --AND(ISNUMBER(M23),M23&gt;=AN23,M23&lt;=AO23) + --AND(ISNUMBER(T23),T23&gt;=AN23,T23&lt;=AO23))&gt;=2,SQRT((IF(AND(ISNUMBER(E23),E23&gt;=AN23,E23&lt;=AO23),(E23-AT23)^2,0) + IF(AND(ISNUMBER(I23),I23&gt;=AN23,I23&lt;=AO23),(I23-AT23)^2,0) + IF(AND(ISNUMBER(M23),M23&gt;=AN23,M23&lt;=AO23),(M23-AT23)^2,0) + IF(AND(ISNUMBER(T23),T23&gt;=AN23,T23&lt;=AO23),(T23-AT23)^2,0))/((--AND(ISNUMBER(E23),E23&gt;=AN23,E23&lt;=AO23) + --AND(ISNUMBER(I23),I23&gt;=AN23,I23&lt;=AO23) + --AND(ISNUMBER(M23),M23&gt;=AN23,M23&lt;=AO23) + --AND(ISNUMBER(T23),T23&gt;=AN23,T23&lt;=AO23))-1))/AT23,""),AM23)</f>
        <v>0.69618489453615662</v>
      </c>
    </row>
    <row r="24" spans="1:47" s="182" customFormat="1" ht="24" customHeight="1" x14ac:dyDescent="0.2">
      <c r="A24" s="193">
        <v>6</v>
      </c>
      <c r="B24" s="194" t="s">
        <v>83</v>
      </c>
      <c r="C24" s="195" t="s">
        <v>53</v>
      </c>
      <c r="D24" s="251">
        <v>1</v>
      </c>
      <c r="E24" s="252">
        <v>663300</v>
      </c>
      <c r="F24" s="222">
        <f t="shared" si="0"/>
        <v>126027</v>
      </c>
      <c r="G24" s="222">
        <f t="shared" si="1"/>
        <v>789327</v>
      </c>
      <c r="H24" s="223">
        <f t="shared" si="2"/>
        <v>789327</v>
      </c>
      <c r="I24" s="273">
        <v>50000</v>
      </c>
      <c r="J24" s="222">
        <f t="shared" si="3"/>
        <v>9500</v>
      </c>
      <c r="K24" s="222">
        <f t="shared" si="4"/>
        <v>59500</v>
      </c>
      <c r="L24" s="223">
        <f t="shared" si="5"/>
        <v>59500</v>
      </c>
      <c r="M24" s="252">
        <v>618000</v>
      </c>
      <c r="N24" s="222">
        <f t="shared" si="6"/>
        <v>117420</v>
      </c>
      <c r="O24" s="222">
        <f t="shared" si="7"/>
        <v>735420</v>
      </c>
      <c r="P24" s="256">
        <f t="shared" si="8"/>
        <v>735420</v>
      </c>
      <c r="Q24" s="202">
        <v>159664</v>
      </c>
      <c r="R24" s="203">
        <v>150.99</v>
      </c>
      <c r="S24" s="204">
        <v>160.41999999999999</v>
      </c>
      <c r="T24" s="205">
        <f t="shared" si="9"/>
        <v>169635.73004834756</v>
      </c>
      <c r="U24" s="206">
        <f t="shared" si="10"/>
        <v>32231</v>
      </c>
      <c r="V24" s="206">
        <f t="shared" si="11"/>
        <v>201867</v>
      </c>
      <c r="W24" s="207">
        <f t="shared" si="12"/>
        <v>201867</v>
      </c>
      <c r="X24" s="208">
        <f t="shared" si="13"/>
        <v>443766.66666666669</v>
      </c>
      <c r="Y24" s="198">
        <f t="shared" si="14"/>
        <v>84316</v>
      </c>
      <c r="Z24" s="198">
        <f t="shared" si="15"/>
        <v>528083</v>
      </c>
      <c r="AA24" s="256">
        <f t="shared" si="16"/>
        <v>528083</v>
      </c>
      <c r="AB24" s="209">
        <f t="shared" si="17"/>
        <v>341763.31478573487</v>
      </c>
      <c r="AC24" s="274">
        <f t="shared" si="18"/>
        <v>0.77014192470307563</v>
      </c>
      <c r="AE24" s="208">
        <f>IF(AND(AC24&gt;30%,AC24&lt;=60%),GEOMEAN(E24,I24,M24),IF(AC24&lt;=30%,AVERAGE(E24,I24,M24),AT24))</f>
        <v>483645.24334944919</v>
      </c>
      <c r="AF24" s="198">
        <f t="shared" si="19"/>
        <v>91893</v>
      </c>
      <c r="AG24" s="198">
        <f t="shared" si="20"/>
        <v>575538</v>
      </c>
      <c r="AH24" s="211">
        <f t="shared" si="21"/>
        <v>575538</v>
      </c>
      <c r="AI24" s="352">
        <v>0</v>
      </c>
      <c r="AK24" s="275">
        <f>AVERAGE(E24,I24,M24,T24)</f>
        <v>375233.93251208687</v>
      </c>
      <c r="AL24" s="276">
        <f>STDEV(E24,I24,M24,T24)</f>
        <v>310893.95537980169</v>
      </c>
      <c r="AM24" s="277">
        <f t="shared" si="22"/>
        <v>0.82853369176516922</v>
      </c>
      <c r="AN24" s="276">
        <f t="shared" si="23"/>
        <v>64339.977132285188</v>
      </c>
      <c r="AO24" s="276">
        <f t="shared" si="24"/>
        <v>686127.88789188862</v>
      </c>
      <c r="AP24" s="278" t="str">
        <f>IF(AM24&gt;60%,IF(AND(ISNUMBER(E24),E24&gt;=AN24,E24&lt;=AO24),"PERMANECE",IF(ISNUMBER(E24),"SE ACOTA","SIN DATO")),"NO APLICA")</f>
        <v>PERMANECE</v>
      </c>
      <c r="AQ24" s="278" t="str">
        <f>IF(AM24&gt;60%,IF(AND(ISNUMBER(I24),I24&gt;=AN24,I24&lt;=AO24),"PERMANECE",IF(ISNUMBER(I24),"SE ACOTA","SIN DATO")),"NO APLICA")</f>
        <v>SE ACOTA</v>
      </c>
      <c r="AR24" s="278" t="str">
        <f>IF(AM24&gt;60%,IF(AND(ISNUMBER(M24),M24&gt;=AN24,M24&lt;=AO24),"PERMANECE",IF(ISNUMBER(M24),"SE ACOTA","SIN DATO")),"NO APLICA")</f>
        <v>PERMANECE</v>
      </c>
      <c r="AS24" s="278" t="str">
        <f>IF(AM24&gt;60%,IF(AND(ISNUMBER(T24),T24&gt;=AN24,T24&lt;=AO24),"PERMANECE",IF(ISNUMBER(T24),"SE ACOTA","SIN DATO")),"NO APLICA")</f>
        <v>PERMANECE</v>
      </c>
      <c r="AT24" s="279">
        <f>IF(AM24&gt;60%,IFERROR((IF(AND(ISNUMBER(E24),E24&gt;=AN24,E24&lt;=AO24),E24,0) + IF(AND(ISNUMBER(I24),I24&gt;=AN24,I24&lt;=AO24),I24,0) + IF(AND(ISNUMBER(M24),M24&gt;=AN24,M24&lt;=AO24),M24,0) + IF(AND(ISNUMBER(T24),T24&gt;=AN24,T24&lt;=AO24),T24,0))/(--AND(ISNUMBER(E24),E24&gt;=AN24,E24&lt;=AO24) + --AND(ISNUMBER(I24),I24&gt;=AN24,I24&lt;=AO24) + --AND(ISNUMBER(M24),M24&gt;=AN24,M24&lt;=AO24) + --AND(ISNUMBER(T24),T24&gt;=AN24,T24&lt;=AO24)),""),AVERAGE(E24,I24,M24,T24))</f>
        <v>483645.24334944919</v>
      </c>
      <c r="AU24" s="280">
        <f>IF(AM24&gt;60%,IF((--AND(ISNUMBER(E24),E24&gt;=AN24,E24&lt;=AO24) + --AND(ISNUMBER(I24),I24&gt;=AN24,I24&lt;=AO24) + --AND(ISNUMBER(M24),M24&gt;=AN24,M24&lt;=AO24) + --AND(ISNUMBER(T24),T24&gt;=AN24,T24&lt;=AO24))&gt;=2,SQRT((IF(AND(ISNUMBER(E24),E24&gt;=AN24,E24&lt;=AO24),(E24-AT24)^2,0) + IF(AND(ISNUMBER(I24),I24&gt;=AN24,I24&lt;=AO24),(I24-AT24)^2,0) + IF(AND(ISNUMBER(M24),M24&gt;=AN24,M24&lt;=AO24),(M24-AT24)^2,0) + IF(AND(ISNUMBER(T24),T24&gt;=AN24,T24&lt;=AO24),(T24-AT24)^2,0))/((--AND(ISNUMBER(E24),E24&gt;=AN24,E24&lt;=AO24) + --AND(ISNUMBER(I24),I24&gt;=AN24,I24&lt;=AO24) + --AND(ISNUMBER(M24),M24&gt;=AN24,M24&lt;=AO24) + --AND(ISNUMBER(T24),T24&gt;=AN24,T24&lt;=AO24))-1))/AT24,""),AM24)</f>
        <v>0.56421902710879557</v>
      </c>
    </row>
    <row r="25" spans="1:47" s="182" customFormat="1" ht="24" customHeight="1" x14ac:dyDescent="0.2">
      <c r="A25" s="193">
        <v>7</v>
      </c>
      <c r="B25" s="194" t="s">
        <v>84</v>
      </c>
      <c r="C25" s="195" t="s">
        <v>53</v>
      </c>
      <c r="D25" s="251">
        <v>1</v>
      </c>
      <c r="E25" s="252">
        <v>2839500</v>
      </c>
      <c r="F25" s="222">
        <f t="shared" si="0"/>
        <v>539505</v>
      </c>
      <c r="G25" s="222">
        <f t="shared" si="1"/>
        <v>3379005</v>
      </c>
      <c r="H25" s="223">
        <f t="shared" si="2"/>
        <v>3379005</v>
      </c>
      <c r="I25" s="273">
        <v>250000</v>
      </c>
      <c r="J25" s="222">
        <f t="shared" si="3"/>
        <v>47500</v>
      </c>
      <c r="K25" s="222">
        <f t="shared" si="4"/>
        <v>297500</v>
      </c>
      <c r="L25" s="223">
        <f t="shared" si="5"/>
        <v>297500</v>
      </c>
      <c r="M25" s="252">
        <v>2850000</v>
      </c>
      <c r="N25" s="222">
        <f t="shared" si="6"/>
        <v>541500</v>
      </c>
      <c r="O25" s="222">
        <f t="shared" si="7"/>
        <v>3391500</v>
      </c>
      <c r="P25" s="256">
        <f t="shared" si="8"/>
        <v>3391500</v>
      </c>
      <c r="Q25" s="202">
        <v>605042</v>
      </c>
      <c r="R25" s="203">
        <v>150.99</v>
      </c>
      <c r="S25" s="204">
        <v>160.41999999999999</v>
      </c>
      <c r="T25" s="205">
        <f t="shared" si="9"/>
        <v>642829.57573349215</v>
      </c>
      <c r="U25" s="206">
        <f t="shared" si="10"/>
        <v>122138</v>
      </c>
      <c r="V25" s="206">
        <f t="shared" si="11"/>
        <v>764968</v>
      </c>
      <c r="W25" s="207">
        <f t="shared" si="12"/>
        <v>764968</v>
      </c>
      <c r="X25" s="208">
        <f t="shared" si="13"/>
        <v>1979833.3333333333</v>
      </c>
      <c r="Y25" s="198">
        <f t="shared" si="14"/>
        <v>376168</v>
      </c>
      <c r="Z25" s="198">
        <f t="shared" si="15"/>
        <v>2356001</v>
      </c>
      <c r="AA25" s="256">
        <f t="shared" si="16"/>
        <v>2356001</v>
      </c>
      <c r="AB25" s="209">
        <f t="shared" si="17"/>
        <v>1498088.8102289974</v>
      </c>
      <c r="AC25" s="274">
        <f t="shared" si="18"/>
        <v>0.75667420333142388</v>
      </c>
      <c r="AE25" s="208">
        <f>IF(AND(AC25&gt;30%,AC25&lt;=60%),GEOMEAN(E25,I25,M25),IF(AC25&lt;=30%,AVERAGE(E25,I25,M25),AT25))</f>
        <v>2110776.5252444972</v>
      </c>
      <c r="AF25" s="198">
        <f t="shared" si="19"/>
        <v>401048</v>
      </c>
      <c r="AG25" s="198">
        <f t="shared" si="20"/>
        <v>2511825</v>
      </c>
      <c r="AH25" s="211">
        <f t="shared" si="21"/>
        <v>2511825</v>
      </c>
      <c r="AI25" s="352">
        <v>0</v>
      </c>
      <c r="AK25" s="275">
        <f>AVERAGE(E25,I25,M25,T25)</f>
        <v>1645582.393933373</v>
      </c>
      <c r="AL25" s="276">
        <f>STDEV(E25,I25,M25,T25)</f>
        <v>1393942.1858580001</v>
      </c>
      <c r="AM25" s="277">
        <f t="shared" si="22"/>
        <v>0.84708136827236769</v>
      </c>
      <c r="AN25" s="276">
        <f t="shared" si="23"/>
        <v>251640.20807537297</v>
      </c>
      <c r="AO25" s="276">
        <f t="shared" si="24"/>
        <v>3039524.5797913731</v>
      </c>
      <c r="AP25" s="278" t="str">
        <f>IF(AM25&gt;60%,IF(AND(ISNUMBER(E25),E25&gt;=AN25,E25&lt;=AO25),"PERMANECE",IF(ISNUMBER(E25),"SE ACOTA","SIN DATO")),"NO APLICA")</f>
        <v>PERMANECE</v>
      </c>
      <c r="AQ25" s="278" t="str">
        <f>IF(AM25&gt;60%,IF(AND(ISNUMBER(I25),I25&gt;=AN25,I25&lt;=AO25),"PERMANECE",IF(ISNUMBER(I25),"SE ACOTA","SIN DATO")),"NO APLICA")</f>
        <v>SE ACOTA</v>
      </c>
      <c r="AR25" s="278" t="str">
        <f>IF(AM25&gt;60%,IF(AND(ISNUMBER(M25),M25&gt;=AN25,M25&lt;=AO25),"PERMANECE",IF(ISNUMBER(M25),"SE ACOTA","SIN DATO")),"NO APLICA")</f>
        <v>PERMANECE</v>
      </c>
      <c r="AS25" s="278" t="str">
        <f>IF(AM25&gt;60%,IF(AND(ISNUMBER(T25),T25&gt;=AN25,T25&lt;=AO25),"PERMANECE",IF(ISNUMBER(T25),"SE ACOTA","SIN DATO")),"NO APLICA")</f>
        <v>PERMANECE</v>
      </c>
      <c r="AT25" s="279">
        <f>IF(AM25&gt;60%,IFERROR((IF(AND(ISNUMBER(E25),E25&gt;=AN25,E25&lt;=AO25),E25,0) + IF(AND(ISNUMBER(I25),I25&gt;=AN25,I25&lt;=AO25),I25,0) + IF(AND(ISNUMBER(M25),M25&gt;=AN25,M25&lt;=AO25),M25,0) + IF(AND(ISNUMBER(T25),T25&gt;=AN25,T25&lt;=AO25),T25,0))/(--AND(ISNUMBER(E25),E25&gt;=AN25,E25&lt;=AO25) + --AND(ISNUMBER(I25),I25&gt;=AN25,I25&lt;=AO25) + --AND(ISNUMBER(M25),M25&gt;=AN25,M25&lt;=AO25) + --AND(ISNUMBER(T25),T25&gt;=AN25,T25&lt;=AO25)),""),AVERAGE(E25,I25,M25,T25))</f>
        <v>2110776.5252444972</v>
      </c>
      <c r="AU25" s="280">
        <f>IF(AM25&gt;60%,IF((--AND(ISNUMBER(E25),E25&gt;=AN25,E25&lt;=AO25) + --AND(ISNUMBER(I25),I25&gt;=AN25,I25&lt;=AO25) + --AND(ISNUMBER(M25),M25&gt;=AN25,M25&lt;=AO25) + --AND(ISNUMBER(T25),T25&gt;=AN25,T25&lt;=AO25))&gt;=2,SQRT((IF(AND(ISNUMBER(E25),E25&gt;=AN25,E25&lt;=AO25),(E25-AT25)^2,0) + IF(AND(ISNUMBER(I25),I25&gt;=AN25,I25&lt;=AO25),(I25-AT25)^2,0) + IF(AND(ISNUMBER(M25),M25&gt;=AN25,M25&lt;=AO25),(M25-AT25)^2,0) + IF(AND(ISNUMBER(T25),T25&gt;=AN25,T25&lt;=AO25),(T25-AT25)^2,0))/((--AND(ISNUMBER(E25),E25&gt;=AN25,E25&lt;=AO25) + --AND(ISNUMBER(I25),I25&gt;=AN25,I25&lt;=AO25) + --AND(ISNUMBER(M25),M25&gt;=AN25,M25&lt;=AO25) + --AND(ISNUMBER(T25),T25&gt;=AN25,T25&lt;=AO25))-1))/AT25,""),AM25)</f>
        <v>0.60228554510222976</v>
      </c>
    </row>
    <row r="26" spans="1:47" s="182" customFormat="1" ht="36.75" customHeight="1" thickBot="1" x14ac:dyDescent="0.25">
      <c r="A26" s="193">
        <v>8</v>
      </c>
      <c r="B26" s="194" t="s">
        <v>85</v>
      </c>
      <c r="C26" s="195" t="s">
        <v>53</v>
      </c>
      <c r="D26" s="251">
        <v>1</v>
      </c>
      <c r="E26" s="252">
        <v>9255400</v>
      </c>
      <c r="F26" s="222">
        <f t="shared" si="0"/>
        <v>1758526</v>
      </c>
      <c r="G26" s="222">
        <f t="shared" si="1"/>
        <v>11013926</v>
      </c>
      <c r="H26" s="223">
        <f t="shared" si="2"/>
        <v>11013926</v>
      </c>
      <c r="I26" s="273">
        <v>1100000</v>
      </c>
      <c r="J26" s="222">
        <f t="shared" si="3"/>
        <v>209000</v>
      </c>
      <c r="K26" s="222">
        <f t="shared" si="4"/>
        <v>1309000</v>
      </c>
      <c r="L26" s="223">
        <f t="shared" si="5"/>
        <v>1309000</v>
      </c>
      <c r="M26" s="252">
        <v>10110000</v>
      </c>
      <c r="N26" s="222">
        <f t="shared" si="6"/>
        <v>1920900</v>
      </c>
      <c r="O26" s="222">
        <f t="shared" si="7"/>
        <v>12030900</v>
      </c>
      <c r="P26" s="256">
        <f t="shared" si="8"/>
        <v>12030900</v>
      </c>
      <c r="Q26" s="233">
        <v>0</v>
      </c>
      <c r="R26" s="234">
        <v>0</v>
      </c>
      <c r="S26" s="204">
        <v>0</v>
      </c>
      <c r="T26" s="235">
        <v>0</v>
      </c>
      <c r="U26" s="236">
        <v>0</v>
      </c>
      <c r="V26" s="236">
        <v>0</v>
      </c>
      <c r="W26" s="237">
        <f t="shared" si="12"/>
        <v>0</v>
      </c>
      <c r="X26" s="281">
        <f t="shared" si="13"/>
        <v>6821800</v>
      </c>
      <c r="Y26" s="282">
        <f t="shared" si="14"/>
        <v>1296142</v>
      </c>
      <c r="Z26" s="282">
        <f t="shared" si="15"/>
        <v>8117942</v>
      </c>
      <c r="AA26" s="283">
        <f t="shared" si="16"/>
        <v>8117942</v>
      </c>
      <c r="AB26" s="243">
        <f t="shared" si="17"/>
        <v>4973613.5475125127</v>
      </c>
      <c r="AC26" s="284">
        <f t="shared" si="18"/>
        <v>0.72907642374630044</v>
      </c>
      <c r="AE26" s="238">
        <f>IF(AND(AC26&gt;30%,AC26&lt;=60%),GEOMEAN(E26,I26,M26),IF(AC26&lt;=30%,AVERAGE(E26,I26,M26),AT26))</f>
        <v>9682700</v>
      </c>
      <c r="AF26" s="239">
        <f t="shared" si="19"/>
        <v>1839713</v>
      </c>
      <c r="AG26" s="239">
        <f t="shared" si="20"/>
        <v>11522413</v>
      </c>
      <c r="AH26" s="353">
        <f t="shared" si="21"/>
        <v>11522413</v>
      </c>
      <c r="AI26" s="354">
        <v>0</v>
      </c>
      <c r="AK26" s="285">
        <f>AVERAGE(E26,I26,M26)</f>
        <v>6821800</v>
      </c>
      <c r="AL26" s="286">
        <f>STDEV(E26,I26,M26)</f>
        <v>4973613.5475125127</v>
      </c>
      <c r="AM26" s="287">
        <f t="shared" si="22"/>
        <v>0.72907642374630044</v>
      </c>
      <c r="AN26" s="286">
        <f>AK26-AL26</f>
        <v>1848186.4524874873</v>
      </c>
      <c r="AO26" s="286">
        <f>AK26+AL26</f>
        <v>11795413.547512513</v>
      </c>
      <c r="AP26" s="288" t="str">
        <f>IF(AM26&gt;60%,IF(AND(ISNUMBER(E26),E26&gt;=AN26,E26&lt;=AO26),"PERMANECE",IF(ISNUMBER(E26),"SE ACOTA","SIN DATO")),"NO APLICA")</f>
        <v>PERMANECE</v>
      </c>
      <c r="AQ26" s="288" t="str">
        <f>IF(AM26&gt;60%,IF(AND(ISNUMBER(I26),I26&gt;=AN26,I26&lt;=AO26),"PERMANECE",IF(ISNUMBER(I26),"SE ACOTA","SIN DATO")),"NO APLICA")</f>
        <v>SE ACOTA</v>
      </c>
      <c r="AR26" s="288" t="str">
        <f>IF(AM26&gt;60%,IF(AND(ISNUMBER(M26),M26&gt;=AN26,M26&lt;=AO26),"PERMANECE",IF(ISNUMBER(M26),"SE ACOTA","SIN DATO")),"NO APLICA")</f>
        <v>PERMANECE</v>
      </c>
      <c r="AS26" s="288" t="str">
        <f>IF(AM26&gt;60%,IF(AND(ISNUMBER(T26),T26&gt;0),IF(AND(T26&gt;=AN26,T26&lt;=AO26),"PERMANECE","SE ACOTA"),"SIN DATO"),"NO APLICA")</f>
        <v>SIN DATO</v>
      </c>
      <c r="AT26" s="289">
        <f>IF(AM26&gt;60%,IFERROR((IF(AND(ISNUMBER(E26),E26&gt;=AN26,E26&lt;=AO26),E26,0) + IF(AND(ISNUMBER(I26),I26&gt;=AN26,I26&lt;=AO26),I26,0) + IF(AND(ISNUMBER(M26),M26&gt;=AN26,M26&lt;=AO26),M26,0) + IF(AND(ISNUMBER(T26),T26&gt;=AN26,T26&lt;=AO26),T26,0))/(--AND(ISNUMBER(E26),E26&gt;=AN26,E26&lt;=AO26) + --AND(ISNUMBER(I26),I26&gt;=AN26,I26&lt;=AO26) + --AND(ISNUMBER(M26),M26&gt;=AN26,M26&lt;=AO26) + --AND(ISNUMBER(T26),T26&gt;=AN26,T26&lt;=AO26)),""),AVERAGE(E26,I26,M26,T26))</f>
        <v>9682700</v>
      </c>
      <c r="AU26" s="290">
        <f>IF(AM26&gt;60%,IF((--AND(ISNUMBER(E26),E26&gt;=AN26,E26&lt;=AO26) + --AND(ISNUMBER(I26),I26&gt;=AN26,I26&lt;=AO26) + --AND(ISNUMBER(M26),M26&gt;=AN26,M26&lt;=AO26) + --AND(ISNUMBER(T26),T26&gt;=AN26,T26&lt;=AO26))&gt;=2,SQRT((IF(AND(ISNUMBER(E26),E26&gt;=AN26,E26&lt;=AO26),(E26-AT26)^2,0) + IF(AND(ISNUMBER(I26),I26&gt;=AN26,I26&lt;=AO26),(I26-AT26)^2,0) + IF(AND(ISNUMBER(M26),M26&gt;=AN26,M26&lt;=AO26),(M26-AT26)^2,0) + IF(AND(ISNUMBER(T26),T26&gt;=AN26,T26&lt;=AO26),(T26-AT26)^2,0))/((--AND(ISNUMBER(E26),E26&gt;=AN26,E26&lt;=AO26) + --AND(ISNUMBER(I26),I26&gt;=AN26,I26&lt;=AO26) + --AND(ISNUMBER(M26),M26&gt;=AN26,M26&lt;=AO26) + --AND(ISNUMBER(T26),T26&gt;=AN26,T26&lt;=AO26))-1))/AT26,""),AM26)</f>
        <v>6.2409602197943087E-2</v>
      </c>
    </row>
    <row r="27" spans="1:47" ht="13.5" customHeight="1" thickBot="1" x14ac:dyDescent="0.25">
      <c r="A27" s="408" t="s">
        <v>74</v>
      </c>
      <c r="B27" s="367"/>
      <c r="C27" s="367"/>
      <c r="D27" s="368"/>
      <c r="E27" s="408">
        <f>SUM(H19:H26)</f>
        <v>27421884</v>
      </c>
      <c r="F27" s="367"/>
      <c r="G27" s="367"/>
      <c r="H27" s="368"/>
      <c r="I27" s="408">
        <f>SUM(L19:L26)</f>
        <v>6069000</v>
      </c>
      <c r="J27" s="367"/>
      <c r="K27" s="367"/>
      <c r="L27" s="368"/>
      <c r="M27" s="408">
        <f>SUM(P19:P26)</f>
        <v>31003665</v>
      </c>
      <c r="N27" s="367"/>
      <c r="O27" s="367"/>
      <c r="P27" s="368"/>
      <c r="Q27" s="417">
        <f>SUM(W19:W26)</f>
        <v>4717301</v>
      </c>
      <c r="R27" s="367"/>
      <c r="S27" s="367"/>
      <c r="T27" s="367"/>
      <c r="U27" s="367"/>
      <c r="V27" s="367"/>
      <c r="W27" s="388"/>
      <c r="X27" s="404">
        <f>SUM(AA19:AA26)</f>
        <v>21498183</v>
      </c>
      <c r="Y27" s="364"/>
      <c r="Z27" s="364"/>
      <c r="AA27" s="365"/>
      <c r="AB27" s="387">
        <f>SUM(AB19:AB26)</f>
        <v>12954721.625076836</v>
      </c>
      <c r="AC27" s="388"/>
      <c r="AE27" s="413">
        <f>SUM(AH19:AH26)</f>
        <v>20711247</v>
      </c>
      <c r="AF27" s="367"/>
      <c r="AG27" s="367"/>
      <c r="AH27" s="368"/>
      <c r="AI27" s="190">
        <f>SUM(AI19:AI26)</f>
        <v>685724.22544695507</v>
      </c>
    </row>
    <row r="28" spans="1:47" ht="6.75" customHeight="1" x14ac:dyDescent="0.2">
      <c r="A28" s="410"/>
      <c r="B28" s="411"/>
      <c r="C28" s="411"/>
      <c r="D28" s="411"/>
      <c r="E28" s="411"/>
      <c r="F28" s="411"/>
      <c r="G28" s="411"/>
      <c r="H28" s="411"/>
      <c r="I28" s="411"/>
      <c r="J28" s="411"/>
      <c r="K28" s="411"/>
      <c r="L28" s="411"/>
      <c r="M28" s="411"/>
      <c r="N28" s="411"/>
      <c r="O28" s="411"/>
      <c r="P28" s="411"/>
      <c r="Q28" s="411"/>
      <c r="R28" s="411"/>
      <c r="S28" s="411"/>
      <c r="T28" s="411"/>
      <c r="U28" s="411"/>
      <c r="V28" s="411"/>
      <c r="W28" s="411"/>
      <c r="X28" s="411"/>
      <c r="Y28" s="411"/>
      <c r="Z28" s="411"/>
      <c r="AA28" s="412"/>
    </row>
    <row r="29" spans="1:47" ht="13.5" customHeight="1" x14ac:dyDescent="0.2">
      <c r="A29" s="409"/>
      <c r="B29" s="391"/>
      <c r="C29" s="391"/>
      <c r="D29" s="391"/>
      <c r="E29" s="391"/>
      <c r="F29" s="391"/>
      <c r="G29" s="391"/>
      <c r="H29" s="391"/>
      <c r="I29" s="391"/>
      <c r="J29" s="391"/>
      <c r="K29" s="391"/>
      <c r="L29" s="391"/>
      <c r="M29" s="391"/>
      <c r="N29" s="391"/>
      <c r="O29" s="391"/>
      <c r="P29" s="391"/>
      <c r="Q29" s="391"/>
      <c r="R29" s="391"/>
      <c r="S29" s="391"/>
      <c r="T29" s="391"/>
      <c r="U29" s="391"/>
      <c r="V29" s="391"/>
      <c r="W29" s="391"/>
      <c r="X29" s="391"/>
      <c r="Y29" s="391"/>
      <c r="Z29" s="391"/>
      <c r="AA29" s="391"/>
    </row>
    <row r="30" spans="1:47" ht="15.75" customHeight="1" x14ac:dyDescent="0.2">
      <c r="A30" s="407"/>
      <c r="B30" s="391"/>
      <c r="C30" s="391"/>
      <c r="D30" s="391"/>
      <c r="E30" s="391"/>
      <c r="F30" s="391"/>
      <c r="G30" s="391"/>
      <c r="H30" s="391"/>
      <c r="I30" s="391"/>
      <c r="J30" s="391"/>
      <c r="K30" s="391"/>
      <c r="L30" s="391"/>
      <c r="M30" s="391"/>
      <c r="N30" s="391"/>
      <c r="O30" s="391"/>
      <c r="P30" s="391"/>
      <c r="Q30" s="391"/>
      <c r="R30" s="391"/>
      <c r="S30" s="391"/>
      <c r="T30" s="391"/>
      <c r="U30" s="391"/>
      <c r="V30" s="391"/>
      <c r="W30" s="391"/>
      <c r="X30" s="391"/>
      <c r="Y30" s="391"/>
      <c r="Z30" s="391"/>
      <c r="AA30" s="391"/>
    </row>
    <row r="31" spans="1:47" ht="21" customHeight="1" x14ac:dyDescent="0.2">
      <c r="A31" s="391"/>
      <c r="B31" s="391"/>
      <c r="C31" s="391"/>
      <c r="D31" s="391"/>
      <c r="E31" s="391"/>
      <c r="F31" s="391"/>
      <c r="G31" s="391"/>
      <c r="H31" s="391"/>
      <c r="I31" s="391"/>
      <c r="J31" s="391"/>
      <c r="K31" s="391"/>
      <c r="L31" s="391"/>
      <c r="M31" s="391"/>
      <c r="N31" s="391"/>
      <c r="O31" s="391"/>
      <c r="P31" s="391"/>
      <c r="Q31" s="391"/>
      <c r="R31" s="391"/>
      <c r="S31" s="391"/>
      <c r="T31" s="391"/>
      <c r="U31" s="391"/>
      <c r="V31" s="391"/>
      <c r="W31" s="391"/>
      <c r="X31" s="391"/>
      <c r="Y31" s="391"/>
      <c r="Z31" s="391"/>
      <c r="AA31" s="391"/>
    </row>
    <row r="32" spans="1:47" ht="20.25" customHeight="1" x14ac:dyDescent="0.2">
      <c r="A32" s="391"/>
      <c r="B32" s="391"/>
      <c r="C32" s="391"/>
      <c r="D32" s="391"/>
      <c r="E32" s="391"/>
      <c r="F32" s="391"/>
      <c r="G32" s="391"/>
      <c r="H32" s="391"/>
      <c r="I32" s="391"/>
      <c r="J32" s="391"/>
      <c r="K32" s="391"/>
      <c r="L32" s="391"/>
      <c r="M32" s="391"/>
      <c r="N32" s="391"/>
      <c r="O32" s="391"/>
      <c r="P32" s="391"/>
      <c r="Q32" s="391"/>
      <c r="R32" s="391"/>
      <c r="S32" s="391"/>
      <c r="T32" s="391"/>
      <c r="U32" s="391"/>
      <c r="V32" s="391"/>
      <c r="W32" s="391"/>
      <c r="X32" s="391"/>
      <c r="Y32" s="391"/>
      <c r="Z32" s="391"/>
      <c r="AA32" s="391"/>
    </row>
  </sheetData>
  <mergeCells count="34">
    <mergeCell ref="A7:AA7"/>
    <mergeCell ref="M17:P17"/>
    <mergeCell ref="Q17:W17"/>
    <mergeCell ref="C6:AC6"/>
    <mergeCell ref="G13:J13"/>
    <mergeCell ref="X17:AC17"/>
    <mergeCell ref="B4:D4"/>
    <mergeCell ref="A28:AA28"/>
    <mergeCell ref="A1:AC2"/>
    <mergeCell ref="A15:AB15"/>
    <mergeCell ref="E17:H17"/>
    <mergeCell ref="E4:AC4"/>
    <mergeCell ref="G11:J11"/>
    <mergeCell ref="A3:B3"/>
    <mergeCell ref="I27:L27"/>
    <mergeCell ref="AB27:AC27"/>
    <mergeCell ref="G10:J10"/>
    <mergeCell ref="E27:H27"/>
    <mergeCell ref="A6:B6"/>
    <mergeCell ref="G9:J9"/>
    <mergeCell ref="X27:AA27"/>
    <mergeCell ref="G12:J12"/>
    <mergeCell ref="A30:AA32"/>
    <mergeCell ref="M27:P27"/>
    <mergeCell ref="AK17:AU17"/>
    <mergeCell ref="AE15:AU15"/>
    <mergeCell ref="AK16:AU16"/>
    <mergeCell ref="A29:AA29"/>
    <mergeCell ref="AE27:AH27"/>
    <mergeCell ref="AE17:AI17"/>
    <mergeCell ref="A17:D17"/>
    <mergeCell ref="I17:L17"/>
    <mergeCell ref="Q27:W27"/>
    <mergeCell ref="A27:D27"/>
  </mergeCells>
  <printOptions horizontalCentered="1"/>
  <pageMargins left="0.25" right="0.25" top="0.75" bottom="0.75" header="0.3" footer="0.511811023622047"/>
  <pageSetup paperSize="9" orientation="landscape" horizontalDpi="300" verticalDpi="300"/>
  <headerFooter>
    <oddHeader>&amp;CPágina &amp;P</oddHead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U41"/>
  <sheetViews>
    <sheetView showGridLines="0" zoomScale="89" zoomScaleNormal="89" workbookViewId="0">
      <selection activeCell="AE37" sqref="AE37"/>
    </sheetView>
  </sheetViews>
  <sheetFormatPr baseColWidth="10" defaultColWidth="10.7109375" defaultRowHeight="12.75" customHeight="1" x14ac:dyDescent="0.2"/>
  <cols>
    <col min="1" max="1" width="4.85546875" style="147" customWidth="1"/>
    <col min="2" max="2" width="33.42578125" style="147" customWidth="1"/>
    <col min="3" max="3" width="9.140625" style="147" customWidth="1"/>
    <col min="4" max="4" width="10" style="147" customWidth="1"/>
    <col min="5" max="5" width="8.28515625" style="147" customWidth="1"/>
    <col min="6" max="6" width="8.42578125" style="147" customWidth="1"/>
    <col min="7" max="7" width="10.5703125" style="147" customWidth="1"/>
    <col min="8" max="9" width="8.140625" style="147" customWidth="1"/>
    <col min="10" max="10" width="6.28515625" style="147" customWidth="1"/>
    <col min="11" max="11" width="11.140625" style="147" customWidth="1"/>
    <col min="12" max="12" width="7.85546875" style="147" customWidth="1"/>
    <col min="13" max="13" width="8" style="147" customWidth="1"/>
    <col min="14" max="14" width="6.7109375" style="147" customWidth="1"/>
    <col min="15" max="15" width="10.7109375" style="147" customWidth="1"/>
    <col min="16" max="16" width="7.85546875" style="147" customWidth="1"/>
    <col min="17" max="17" width="8.28515625" style="147" customWidth="1"/>
    <col min="18" max="19" width="7.85546875" style="147" customWidth="1"/>
    <col min="20" max="20" width="8.42578125" style="147" customWidth="1"/>
    <col min="21" max="21" width="7.85546875" style="147" customWidth="1"/>
    <col min="22" max="22" width="8.42578125" style="147" customWidth="1"/>
    <col min="23" max="23" width="7.85546875" style="147" customWidth="1"/>
    <col min="24" max="24" width="8.7109375" style="147" customWidth="1"/>
    <col min="25" max="25" width="6.28515625" style="147" customWidth="1"/>
    <col min="26" max="26" width="10.5703125" style="147" customWidth="1"/>
    <col min="27" max="27" width="7.5703125" style="147" customWidth="1"/>
    <col min="28" max="28" width="9.42578125" style="144" customWidth="1"/>
    <col min="29" max="29" width="5.7109375" style="144" customWidth="1"/>
    <col min="30" max="30" width="1.85546875" style="144" customWidth="1"/>
    <col min="36" max="36" width="1.5703125" style="144" customWidth="1"/>
    <col min="37" max="37" width="10.85546875" style="144" customWidth="1"/>
    <col min="38" max="38" width="8.5703125" style="144" customWidth="1"/>
    <col min="39" max="39" width="8.7109375" style="144" customWidth="1"/>
    <col min="40" max="40" width="8.140625" style="144" customWidth="1"/>
    <col min="41" max="41" width="9.140625" style="144" customWidth="1"/>
    <col min="42" max="42" width="10" style="144" customWidth="1"/>
    <col min="43" max="43" width="9.85546875" style="144" customWidth="1"/>
    <col min="44" max="44" width="9.7109375" style="144" customWidth="1"/>
    <col min="45" max="45" width="10" style="144" customWidth="1"/>
    <col min="46" max="46" width="10.85546875" style="144" customWidth="1"/>
    <col min="47" max="47" width="9.7109375" style="144" customWidth="1"/>
  </cols>
  <sheetData>
    <row r="1" spans="1:47" ht="85.5" customHeight="1" x14ac:dyDescent="0.2">
      <c r="A1" s="385" t="s">
        <v>1</v>
      </c>
      <c r="B1" s="360"/>
      <c r="C1" s="360"/>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0"/>
      <c r="AD1" s="361"/>
    </row>
    <row r="2" spans="1:47" ht="5.25" customHeight="1" thickBot="1" x14ac:dyDescent="0.25">
      <c r="A2" s="362"/>
      <c r="B2" s="363"/>
      <c r="C2" s="363"/>
      <c r="D2" s="363"/>
      <c r="E2" s="363"/>
      <c r="F2" s="363"/>
      <c r="G2" s="363"/>
      <c r="H2" s="363"/>
      <c r="I2" s="363"/>
      <c r="J2" s="363"/>
      <c r="K2" s="363"/>
      <c r="L2" s="363"/>
      <c r="M2" s="363"/>
      <c r="N2" s="363"/>
      <c r="O2" s="363"/>
      <c r="P2" s="363"/>
      <c r="Q2" s="363"/>
      <c r="R2" s="363"/>
      <c r="S2" s="363"/>
      <c r="T2" s="363"/>
      <c r="U2" s="363"/>
      <c r="V2" s="363"/>
      <c r="W2" s="363"/>
      <c r="X2" s="363"/>
      <c r="Y2" s="363"/>
      <c r="Z2" s="363"/>
      <c r="AA2" s="363"/>
      <c r="AB2" s="364"/>
      <c r="AC2" s="364"/>
      <c r="AD2" s="365"/>
    </row>
    <row r="3" spans="1:47" ht="18" customHeight="1" thickBot="1" x14ac:dyDescent="0.25">
      <c r="A3" s="414" t="s">
        <v>2</v>
      </c>
      <c r="B3" s="367"/>
      <c r="C3" s="149">
        <v>46254</v>
      </c>
      <c r="D3" s="313"/>
      <c r="E3" s="313"/>
      <c r="F3" s="314"/>
      <c r="G3" s="314"/>
      <c r="H3" s="315"/>
      <c r="I3" s="316"/>
      <c r="J3" s="316"/>
      <c r="K3" s="316"/>
      <c r="L3" s="316"/>
      <c r="M3" s="316"/>
      <c r="N3" s="316"/>
      <c r="O3" s="316"/>
      <c r="P3" s="316"/>
      <c r="Q3" s="316"/>
      <c r="R3" s="316"/>
      <c r="S3" s="316"/>
      <c r="T3" s="316"/>
      <c r="U3" s="316"/>
      <c r="V3" s="316"/>
      <c r="W3" s="316"/>
      <c r="X3" s="316"/>
      <c r="Y3" s="316"/>
      <c r="Z3" s="317"/>
      <c r="AA3" s="318"/>
      <c r="AB3" s="185"/>
      <c r="AC3" s="185"/>
      <c r="AD3" s="186"/>
    </row>
    <row r="4" spans="1:47" ht="29.25" customHeight="1" thickBot="1" x14ac:dyDescent="0.25">
      <c r="A4" s="104" t="s">
        <v>3</v>
      </c>
      <c r="B4" s="424" t="s">
        <v>4</v>
      </c>
      <c r="C4" s="360"/>
      <c r="D4" s="360"/>
      <c r="E4" s="425" t="s">
        <v>5</v>
      </c>
      <c r="F4" s="367"/>
      <c r="G4" s="367"/>
      <c r="H4" s="367"/>
      <c r="I4" s="367"/>
      <c r="J4" s="367"/>
      <c r="K4" s="367"/>
      <c r="L4" s="367"/>
      <c r="M4" s="367"/>
      <c r="N4" s="367"/>
      <c r="O4" s="367"/>
      <c r="P4" s="367"/>
      <c r="Q4" s="367"/>
      <c r="R4" s="367"/>
      <c r="S4" s="367"/>
      <c r="T4" s="367"/>
      <c r="U4" s="367"/>
      <c r="V4" s="367"/>
      <c r="W4" s="367"/>
      <c r="X4" s="367"/>
      <c r="Y4" s="367"/>
      <c r="Z4" s="367"/>
      <c r="AA4" s="367"/>
      <c r="AB4" s="320"/>
      <c r="AC4" s="185"/>
      <c r="AD4" s="186"/>
    </row>
    <row r="5" spans="1:47" ht="5.25" customHeight="1" thickBot="1" x14ac:dyDescent="0.25">
      <c r="A5" s="93"/>
      <c r="B5" s="94"/>
      <c r="C5" s="94"/>
      <c r="D5" s="94"/>
      <c r="E5" s="94"/>
      <c r="F5" s="94"/>
      <c r="G5" s="94"/>
      <c r="H5" s="94"/>
      <c r="I5" s="94"/>
      <c r="J5" s="94"/>
      <c r="K5" s="94"/>
      <c r="L5" s="94"/>
      <c r="M5" s="94"/>
      <c r="N5" s="94"/>
      <c r="O5" s="94"/>
      <c r="P5" s="94"/>
      <c r="Q5" s="94"/>
      <c r="R5" s="94"/>
      <c r="S5" s="94"/>
      <c r="T5" s="94"/>
      <c r="U5" s="94"/>
      <c r="V5" s="94"/>
      <c r="W5" s="94"/>
      <c r="X5" s="94"/>
      <c r="Y5" s="94"/>
      <c r="Z5" s="94"/>
      <c r="AA5" s="91"/>
      <c r="AB5" s="95"/>
      <c r="AC5" s="70"/>
      <c r="AD5" s="70"/>
    </row>
    <row r="6" spans="1:47" ht="21.75" customHeight="1" thickBot="1" x14ac:dyDescent="0.25">
      <c r="A6" s="426" t="s">
        <v>6</v>
      </c>
      <c r="B6" s="360"/>
      <c r="C6" s="418" t="s">
        <v>76</v>
      </c>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8"/>
    </row>
    <row r="7" spans="1:47" ht="18" customHeight="1" x14ac:dyDescent="0.2">
      <c r="A7" s="374" t="s">
        <v>8</v>
      </c>
      <c r="B7" s="360"/>
      <c r="C7" s="360"/>
      <c r="D7" s="360"/>
      <c r="E7" s="360"/>
      <c r="F7" s="360"/>
      <c r="G7" s="360"/>
      <c r="H7" s="360"/>
      <c r="I7" s="360"/>
      <c r="J7" s="360"/>
      <c r="K7" s="360"/>
      <c r="L7" s="360"/>
      <c r="M7" s="360"/>
      <c r="N7" s="360"/>
      <c r="O7" s="360"/>
      <c r="P7" s="360"/>
      <c r="Q7" s="360"/>
      <c r="R7" s="360"/>
      <c r="S7" s="360"/>
      <c r="T7" s="360"/>
      <c r="U7" s="360"/>
      <c r="V7" s="360"/>
      <c r="W7" s="360"/>
      <c r="X7" s="360"/>
      <c r="Y7" s="360"/>
      <c r="Z7" s="360"/>
      <c r="AA7" s="360"/>
      <c r="AB7" s="96"/>
      <c r="AC7" s="181"/>
      <c r="AD7" s="298"/>
    </row>
    <row r="8" spans="1:47" ht="15" customHeight="1" x14ac:dyDescent="0.2">
      <c r="A8" s="2"/>
      <c r="B8" s="299"/>
      <c r="C8" s="299"/>
      <c r="D8" s="299"/>
      <c r="E8" s="299"/>
      <c r="F8" s="299"/>
      <c r="G8" s="299"/>
      <c r="H8" s="299"/>
      <c r="I8" s="299"/>
      <c r="J8" s="299"/>
      <c r="K8" s="299"/>
      <c r="L8" s="299"/>
      <c r="M8" s="299"/>
      <c r="N8" s="299"/>
      <c r="O8" s="299"/>
      <c r="P8" s="299"/>
      <c r="Q8" s="299"/>
      <c r="R8" s="299"/>
      <c r="S8" s="299"/>
      <c r="T8" s="299"/>
      <c r="U8" s="299"/>
      <c r="V8" s="299"/>
      <c r="W8" s="299"/>
      <c r="X8" s="299"/>
      <c r="Y8" s="299"/>
      <c r="Z8" s="299"/>
      <c r="AA8" s="319"/>
      <c r="AB8" s="300"/>
      <c r="AC8" s="300"/>
      <c r="AD8" s="184"/>
    </row>
    <row r="9" spans="1:47" ht="15" customHeight="1" x14ac:dyDescent="0.35">
      <c r="A9" s="1"/>
      <c r="B9" s="301"/>
      <c r="C9" s="301"/>
      <c r="D9" s="301"/>
      <c r="E9" s="301"/>
      <c r="F9" s="301"/>
      <c r="G9" s="401" t="s">
        <v>9</v>
      </c>
      <c r="H9" s="376"/>
      <c r="I9" s="376"/>
      <c r="J9" s="377"/>
      <c r="K9" s="3" t="s">
        <v>10</v>
      </c>
      <c r="L9" s="301"/>
      <c r="M9" s="301"/>
      <c r="N9" s="301"/>
      <c r="O9" s="301"/>
      <c r="P9" s="301"/>
      <c r="Q9" s="301"/>
      <c r="R9" s="301"/>
      <c r="S9" s="301"/>
      <c r="T9" s="301"/>
      <c r="U9" s="301"/>
      <c r="V9" s="301"/>
      <c r="W9" s="301"/>
      <c r="X9" s="301"/>
      <c r="Y9" s="301"/>
      <c r="Z9" s="301"/>
      <c r="AA9" s="302"/>
      <c r="AB9" s="300"/>
      <c r="AC9" s="300"/>
      <c r="AD9" s="184"/>
    </row>
    <row r="10" spans="1:47" ht="15.75" customHeight="1" x14ac:dyDescent="0.35">
      <c r="A10" s="1"/>
      <c r="B10" s="302"/>
      <c r="C10" s="302"/>
      <c r="D10" s="302"/>
      <c r="E10" s="302"/>
      <c r="F10" s="302"/>
      <c r="G10" s="375" t="s">
        <v>11</v>
      </c>
      <c r="H10" s="376"/>
      <c r="I10" s="376"/>
      <c r="J10" s="377"/>
      <c r="K10" s="4">
        <v>1</v>
      </c>
      <c r="L10" s="302"/>
      <c r="M10" s="302"/>
      <c r="N10" s="302"/>
      <c r="O10" s="302"/>
      <c r="P10" s="302"/>
      <c r="Q10" s="302"/>
      <c r="R10" s="302"/>
      <c r="S10" s="302"/>
      <c r="T10" s="302"/>
      <c r="U10" s="302"/>
      <c r="V10" s="302"/>
      <c r="W10" s="302"/>
      <c r="X10" s="302"/>
      <c r="Y10" s="302"/>
      <c r="Z10" s="302"/>
      <c r="AA10" s="302"/>
      <c r="AB10" s="300"/>
      <c r="AC10" s="300"/>
      <c r="AD10" s="184"/>
    </row>
    <row r="11" spans="1:47" ht="15.75" customHeight="1" x14ac:dyDescent="0.35">
      <c r="A11" s="1"/>
      <c r="B11" s="302"/>
      <c r="C11" s="302"/>
      <c r="D11" s="302"/>
      <c r="E11" s="302"/>
      <c r="F11" s="302"/>
      <c r="G11" s="375" t="s">
        <v>12</v>
      </c>
      <c r="H11" s="376"/>
      <c r="I11" s="376"/>
      <c r="J11" s="377"/>
      <c r="K11" s="4">
        <v>22</v>
      </c>
      <c r="L11" s="302"/>
      <c r="M11" s="302"/>
      <c r="N11" s="302"/>
      <c r="O11" s="302"/>
      <c r="P11" s="302"/>
      <c r="Q11" s="302"/>
      <c r="R11" s="302"/>
      <c r="S11" s="302"/>
      <c r="T11" s="302"/>
      <c r="U11" s="302"/>
      <c r="V11" s="302"/>
      <c r="W11" s="302"/>
      <c r="X11" s="302"/>
      <c r="Y11" s="302"/>
      <c r="Z11" s="302"/>
      <c r="AA11" s="302"/>
      <c r="AB11" s="300"/>
      <c r="AC11" s="300"/>
      <c r="AD11" s="184"/>
    </row>
    <row r="12" spans="1:47" ht="15.75" customHeight="1" x14ac:dyDescent="0.35">
      <c r="A12" s="1"/>
      <c r="B12" s="302"/>
      <c r="C12" s="302"/>
      <c r="D12" s="302"/>
      <c r="E12" s="302"/>
      <c r="F12" s="302"/>
      <c r="G12" s="375" t="s">
        <v>13</v>
      </c>
      <c r="H12" s="376"/>
      <c r="I12" s="376"/>
      <c r="J12" s="377"/>
      <c r="K12" s="4">
        <v>0</v>
      </c>
      <c r="L12" s="302"/>
      <c r="M12" s="302"/>
      <c r="N12" s="302"/>
      <c r="O12" s="302"/>
      <c r="P12" s="302"/>
      <c r="Q12" s="302"/>
      <c r="R12" s="302"/>
      <c r="S12" s="302"/>
      <c r="T12" s="302"/>
      <c r="U12" s="302"/>
      <c r="V12" s="302"/>
      <c r="W12" s="302"/>
      <c r="X12" s="302"/>
      <c r="Y12" s="302"/>
      <c r="Z12" s="302"/>
      <c r="AA12" s="302"/>
      <c r="AB12" s="300"/>
      <c r="AC12" s="300"/>
      <c r="AD12" s="184"/>
    </row>
    <row r="13" spans="1:47" ht="15.75" customHeight="1" x14ac:dyDescent="0.35">
      <c r="A13" s="1"/>
      <c r="B13" s="302"/>
      <c r="C13" s="302"/>
      <c r="D13" s="302"/>
      <c r="E13" s="302"/>
      <c r="F13" s="302"/>
      <c r="G13" s="375" t="s">
        <v>14</v>
      </c>
      <c r="H13" s="376"/>
      <c r="I13" s="376"/>
      <c r="J13" s="377"/>
      <c r="K13" s="4">
        <v>1</v>
      </c>
      <c r="L13" s="302"/>
      <c r="M13" s="302"/>
      <c r="N13" s="302"/>
      <c r="O13" s="302"/>
      <c r="P13" s="302"/>
      <c r="Q13" s="302"/>
      <c r="R13" s="302"/>
      <c r="S13" s="302"/>
      <c r="T13" s="302"/>
      <c r="U13" s="302"/>
      <c r="V13" s="302"/>
      <c r="W13" s="302"/>
      <c r="X13" s="302"/>
      <c r="Y13" s="302"/>
      <c r="Z13" s="302"/>
      <c r="AA13" s="302"/>
      <c r="AB13" s="300"/>
      <c r="AC13" s="300"/>
      <c r="AD13" s="184"/>
    </row>
    <row r="14" spans="1:47" ht="15" customHeight="1" x14ac:dyDescent="0.35">
      <c r="A14" s="1"/>
      <c r="B14" s="303"/>
      <c r="C14" s="303"/>
      <c r="D14" s="303"/>
      <c r="E14" s="303"/>
      <c r="F14" s="303"/>
      <c r="G14" s="303"/>
      <c r="H14" s="303"/>
      <c r="I14" s="303"/>
      <c r="J14" s="303"/>
      <c r="K14" s="303"/>
      <c r="L14" s="303"/>
      <c r="M14" s="303"/>
      <c r="N14" s="303"/>
      <c r="O14" s="303"/>
      <c r="P14" s="303"/>
      <c r="Q14" s="303"/>
      <c r="R14" s="303"/>
      <c r="S14" s="303"/>
      <c r="T14" s="303"/>
      <c r="U14" s="303"/>
      <c r="V14" s="303"/>
      <c r="W14" s="303"/>
      <c r="X14" s="303"/>
      <c r="Y14" s="303"/>
      <c r="Z14" s="303"/>
      <c r="AA14" s="319"/>
      <c r="AB14" s="300"/>
      <c r="AC14" s="300"/>
      <c r="AD14" s="184"/>
    </row>
    <row r="15" spans="1:47" ht="31.5" customHeight="1" x14ac:dyDescent="0.2">
      <c r="A15" s="422" t="s">
        <v>15</v>
      </c>
      <c r="B15" s="423"/>
      <c r="C15" s="423"/>
      <c r="D15" s="423"/>
      <c r="E15" s="423"/>
      <c r="F15" s="423"/>
      <c r="G15" s="423"/>
      <c r="H15" s="423"/>
      <c r="I15" s="423"/>
      <c r="J15" s="423"/>
      <c r="K15" s="423"/>
      <c r="L15" s="423"/>
      <c r="M15" s="423"/>
      <c r="N15" s="423"/>
      <c r="O15" s="423"/>
      <c r="P15" s="423"/>
      <c r="Q15" s="423"/>
      <c r="R15" s="423"/>
      <c r="S15" s="423"/>
      <c r="T15" s="423"/>
      <c r="U15" s="423"/>
      <c r="V15" s="423"/>
      <c r="W15" s="423"/>
      <c r="X15" s="423"/>
      <c r="Y15" s="423"/>
      <c r="Z15" s="423"/>
      <c r="AA15" s="423"/>
      <c r="AB15" s="406"/>
      <c r="AC15" s="300"/>
      <c r="AD15" s="184"/>
      <c r="AE15" s="421"/>
      <c r="AF15" s="421"/>
      <c r="AG15" s="421"/>
      <c r="AH15" s="421"/>
      <c r="AI15" s="421"/>
      <c r="AJ15" s="421"/>
      <c r="AK15" s="421"/>
      <c r="AL15" s="421"/>
      <c r="AM15" s="421"/>
      <c r="AN15" s="421"/>
      <c r="AO15" s="421"/>
      <c r="AP15" s="421"/>
      <c r="AQ15" s="421"/>
      <c r="AR15" s="421"/>
      <c r="AS15" s="421"/>
      <c r="AT15" s="421"/>
      <c r="AU15" s="421"/>
    </row>
    <row r="16" spans="1:47" ht="6.75" customHeight="1" thickBot="1" x14ac:dyDescent="0.25">
      <c r="A16" s="5"/>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180"/>
      <c r="AC16" s="180"/>
      <c r="AD16" s="179"/>
      <c r="AK16" s="372"/>
      <c r="AL16" s="373"/>
      <c r="AM16" s="373"/>
      <c r="AN16" s="373"/>
      <c r="AO16" s="373"/>
      <c r="AP16" s="373"/>
      <c r="AQ16" s="373"/>
      <c r="AR16" s="373"/>
      <c r="AS16" s="373"/>
      <c r="AT16" s="373"/>
      <c r="AU16" s="373"/>
    </row>
    <row r="17" spans="1:47" ht="83.25" customHeight="1" thickBot="1" x14ac:dyDescent="0.25">
      <c r="A17" s="427" t="s">
        <v>16</v>
      </c>
      <c r="B17" s="391"/>
      <c r="C17" s="391"/>
      <c r="D17" s="392"/>
      <c r="E17" s="386" t="s">
        <v>86</v>
      </c>
      <c r="F17" s="364"/>
      <c r="G17" s="364"/>
      <c r="H17" s="365"/>
      <c r="I17" s="381" t="s">
        <v>19</v>
      </c>
      <c r="J17" s="364"/>
      <c r="K17" s="364"/>
      <c r="L17" s="365"/>
      <c r="M17" s="381" t="s">
        <v>18</v>
      </c>
      <c r="N17" s="364"/>
      <c r="O17" s="364"/>
      <c r="P17" s="365"/>
      <c r="Q17" s="405" t="s">
        <v>20</v>
      </c>
      <c r="R17" s="391"/>
      <c r="S17" s="391"/>
      <c r="T17" s="391"/>
      <c r="U17" s="391"/>
      <c r="V17" s="391"/>
      <c r="W17" s="396"/>
      <c r="X17" s="419" t="s">
        <v>21</v>
      </c>
      <c r="Y17" s="391"/>
      <c r="Z17" s="391"/>
      <c r="AA17" s="391"/>
      <c r="AB17" s="373"/>
      <c r="AC17" s="396"/>
      <c r="AE17" s="433" t="s">
        <v>113</v>
      </c>
      <c r="AF17" s="434"/>
      <c r="AG17" s="434"/>
      <c r="AH17" s="434"/>
      <c r="AI17" s="435"/>
      <c r="AK17" s="369" t="s">
        <v>112</v>
      </c>
      <c r="AL17" s="370"/>
      <c r="AM17" s="370"/>
      <c r="AN17" s="370"/>
      <c r="AO17" s="370"/>
      <c r="AP17" s="370"/>
      <c r="AQ17" s="370"/>
      <c r="AR17" s="370"/>
      <c r="AS17" s="370"/>
      <c r="AT17" s="370"/>
      <c r="AU17" s="371"/>
    </row>
    <row r="18" spans="1:47" ht="48" customHeight="1" thickBot="1" x14ac:dyDescent="0.25">
      <c r="A18" s="6" t="s">
        <v>22</v>
      </c>
      <c r="B18" s="7" t="s">
        <v>23</v>
      </c>
      <c r="C18" s="7" t="s">
        <v>24</v>
      </c>
      <c r="D18" s="8" t="s">
        <v>114</v>
      </c>
      <c r="E18" s="97" t="s">
        <v>25</v>
      </c>
      <c r="F18" s="19" t="s">
        <v>26</v>
      </c>
      <c r="G18" s="19" t="s">
        <v>27</v>
      </c>
      <c r="H18" s="20" t="s">
        <v>28</v>
      </c>
      <c r="I18" s="52" t="s">
        <v>25</v>
      </c>
      <c r="J18" s="80" t="s">
        <v>26</v>
      </c>
      <c r="K18" s="80" t="s">
        <v>27</v>
      </c>
      <c r="L18" s="21" t="s">
        <v>28</v>
      </c>
      <c r="M18" s="52" t="s">
        <v>25</v>
      </c>
      <c r="N18" s="80" t="s">
        <v>26</v>
      </c>
      <c r="O18" s="80" t="s">
        <v>27</v>
      </c>
      <c r="P18" s="21" t="s">
        <v>28</v>
      </c>
      <c r="Q18" s="41" t="s">
        <v>87</v>
      </c>
      <c r="R18" s="80" t="s">
        <v>88</v>
      </c>
      <c r="S18" s="78" t="s">
        <v>31</v>
      </c>
      <c r="T18" s="80" t="s">
        <v>89</v>
      </c>
      <c r="U18" s="42" t="s">
        <v>34</v>
      </c>
      <c r="V18" s="42" t="s">
        <v>35</v>
      </c>
      <c r="W18" s="59" t="s">
        <v>28</v>
      </c>
      <c r="X18" s="52" t="s">
        <v>33</v>
      </c>
      <c r="Y18" s="80" t="s">
        <v>34</v>
      </c>
      <c r="Z18" s="80" t="s">
        <v>35</v>
      </c>
      <c r="AA18" s="80" t="s">
        <v>28</v>
      </c>
      <c r="AB18" s="80" t="s">
        <v>36</v>
      </c>
      <c r="AC18" s="140" t="s">
        <v>37</v>
      </c>
      <c r="AE18" s="52" t="s">
        <v>33</v>
      </c>
      <c r="AF18" s="80" t="s">
        <v>34</v>
      </c>
      <c r="AG18" s="80" t="s">
        <v>35</v>
      </c>
      <c r="AH18" s="80" t="s">
        <v>28</v>
      </c>
      <c r="AI18" s="140" t="s">
        <v>36</v>
      </c>
      <c r="AK18" s="151" t="s">
        <v>38</v>
      </c>
      <c r="AL18" s="152" t="s">
        <v>39</v>
      </c>
      <c r="AM18" s="152" t="s">
        <v>40</v>
      </c>
      <c r="AN18" s="152" t="s">
        <v>41</v>
      </c>
      <c r="AO18" s="152" t="s">
        <v>42</v>
      </c>
      <c r="AP18" s="152" t="s">
        <v>44</v>
      </c>
      <c r="AQ18" s="152" t="s">
        <v>45</v>
      </c>
      <c r="AR18" s="152" t="s">
        <v>46</v>
      </c>
      <c r="AS18" s="152" t="s">
        <v>47</v>
      </c>
      <c r="AT18" s="152" t="s">
        <v>43</v>
      </c>
      <c r="AU18" s="153" t="s">
        <v>0</v>
      </c>
    </row>
    <row r="19" spans="1:47" ht="27.75" customHeight="1" x14ac:dyDescent="0.2">
      <c r="A19" s="9">
        <v>1</v>
      </c>
      <c r="B19" s="15" t="s">
        <v>90</v>
      </c>
      <c r="C19" s="11" t="s">
        <v>81</v>
      </c>
      <c r="D19" s="114">
        <v>1</v>
      </c>
      <c r="E19" s="29">
        <v>11800</v>
      </c>
      <c r="F19" s="115">
        <f t="shared" ref="F19:F35" si="0">ROUND(E19*0.19,0)</f>
        <v>2242</v>
      </c>
      <c r="G19" s="115">
        <f t="shared" ref="G19:G35" si="1">ROUND(E19+F19,0)</f>
        <v>14042</v>
      </c>
      <c r="H19" s="116">
        <f t="shared" ref="H19:H35" si="2">ROUND(G19*D19,0)</f>
        <v>14042</v>
      </c>
      <c r="I19" s="28">
        <v>5000</v>
      </c>
      <c r="J19" s="117">
        <f t="shared" ref="J19:J35" si="3">ROUND(I19*0.19,0)</f>
        <v>950</v>
      </c>
      <c r="K19" s="117">
        <f t="shared" ref="K19:K35" si="4">ROUND(I19+J19,0)</f>
        <v>5950</v>
      </c>
      <c r="L19" s="118">
        <f t="shared" ref="L19:L35" si="5">ROUND(K19*D19,0)</f>
        <v>5950</v>
      </c>
      <c r="M19" s="72">
        <v>17145</v>
      </c>
      <c r="N19" s="12">
        <f t="shared" ref="N19:N35" si="6">ROUND(M19*0.19,0)</f>
        <v>3258</v>
      </c>
      <c r="O19" s="12">
        <f t="shared" ref="O19:O35" si="7">ROUND(M19+N19,0)</f>
        <v>20403</v>
      </c>
      <c r="P19" s="14">
        <f t="shared" ref="P19:P35" si="8">ROUND(O19*D19,0)</f>
        <v>20403</v>
      </c>
      <c r="Q19" s="39">
        <v>840</v>
      </c>
      <c r="R19" s="23">
        <v>150.99</v>
      </c>
      <c r="S19" s="23">
        <v>160.41999999999999</v>
      </c>
      <c r="T19" s="99">
        <f t="shared" ref="T19:T35" si="9">+(Q19*S19)/R19</f>
        <v>892.46175243393589</v>
      </c>
      <c r="U19" s="40">
        <f t="shared" ref="U19:U35" si="10">ROUND(T19*0.19,0)</f>
        <v>170</v>
      </c>
      <c r="V19" s="40">
        <f t="shared" ref="V19:V35" si="11">ROUND(T19+U19,0)</f>
        <v>1062</v>
      </c>
      <c r="W19" s="60">
        <f t="shared" ref="W19:W35" si="12">ROUND(V19*D19,0)</f>
        <v>1062</v>
      </c>
      <c r="X19" s="56">
        <f t="shared" ref="X19:X35" si="13">AVERAGE(E19,I19,M19)</f>
        <v>11315</v>
      </c>
      <c r="Y19" s="12">
        <f t="shared" ref="Y19:Y35" si="14">ROUND(X19*0.19,0)</f>
        <v>2150</v>
      </c>
      <c r="Z19" s="12">
        <f t="shared" ref="Z19:Z35" si="15">ROUND(X19+Y19,0)</f>
        <v>13465</v>
      </c>
      <c r="AA19" s="12">
        <f t="shared" ref="AA19:AA35" si="16">ROUND(Z19*D19,0)</f>
        <v>13465</v>
      </c>
      <c r="AB19" s="81">
        <f t="shared" ref="AB19:AB35" si="17">STDEV(E19,I19,M19)</f>
        <v>6087.0087070744366</v>
      </c>
      <c r="AC19" s="49">
        <f t="shared" ref="AC19:AC35" si="18">IFERROR(AB19/X19,0)</f>
        <v>0.53795923173437354</v>
      </c>
      <c r="AE19" s="56">
        <f>GEOMEAN(E19,I19,M19)</f>
        <v>10038.369258377086</v>
      </c>
      <c r="AF19" s="12">
        <f t="shared" ref="AF19:AF35" si="19">ROUND(AE19*0.19,0)</f>
        <v>1907</v>
      </c>
      <c r="AG19" s="12">
        <f t="shared" ref="AG19:AG35" si="20">ROUND(AE19+AF19,0)</f>
        <v>11945</v>
      </c>
      <c r="AH19" s="187">
        <f t="shared" ref="AH19:AH35" si="21">ROUND(AG19*D19,0)</f>
        <v>11945</v>
      </c>
      <c r="AI19" s="355">
        <f>STDEV(E19,I19,M19)</f>
        <v>6087.0087070744366</v>
      </c>
      <c r="AK19" s="170"/>
      <c r="AL19" s="171"/>
      <c r="AM19" s="157"/>
      <c r="AN19" s="171"/>
      <c r="AO19" s="171"/>
      <c r="AP19" s="158"/>
      <c r="AQ19" s="158"/>
      <c r="AR19" s="158"/>
      <c r="AS19" s="158"/>
      <c r="AT19" s="174"/>
      <c r="AU19" s="159"/>
    </row>
    <row r="20" spans="1:47" s="182" customFormat="1" ht="27.75" customHeight="1" x14ac:dyDescent="0.2">
      <c r="A20" s="193">
        <v>2</v>
      </c>
      <c r="B20" s="221" t="s">
        <v>91</v>
      </c>
      <c r="C20" s="195" t="s">
        <v>53</v>
      </c>
      <c r="D20" s="251">
        <v>1</v>
      </c>
      <c r="E20" s="291">
        <v>3150</v>
      </c>
      <c r="F20" s="222">
        <f t="shared" si="0"/>
        <v>599</v>
      </c>
      <c r="G20" s="222">
        <f t="shared" si="1"/>
        <v>3749</v>
      </c>
      <c r="H20" s="223">
        <f t="shared" si="2"/>
        <v>3749</v>
      </c>
      <c r="I20" s="273">
        <v>500</v>
      </c>
      <c r="J20" s="198">
        <f t="shared" si="3"/>
        <v>95</v>
      </c>
      <c r="K20" s="198">
        <f t="shared" si="4"/>
        <v>595</v>
      </c>
      <c r="L20" s="256">
        <f t="shared" si="5"/>
        <v>595</v>
      </c>
      <c r="M20" s="273">
        <v>13275</v>
      </c>
      <c r="N20" s="222">
        <f t="shared" si="6"/>
        <v>2522</v>
      </c>
      <c r="O20" s="222">
        <f t="shared" si="7"/>
        <v>15797</v>
      </c>
      <c r="P20" s="256">
        <f t="shared" si="8"/>
        <v>15797</v>
      </c>
      <c r="Q20" s="292">
        <v>2101</v>
      </c>
      <c r="R20" s="293">
        <v>150.99</v>
      </c>
      <c r="S20" s="204">
        <v>160.41999999999999</v>
      </c>
      <c r="T20" s="294">
        <f t="shared" si="9"/>
        <v>2232.216835552023</v>
      </c>
      <c r="U20" s="198">
        <f t="shared" si="10"/>
        <v>424</v>
      </c>
      <c r="V20" s="198">
        <f t="shared" si="11"/>
        <v>2656</v>
      </c>
      <c r="W20" s="201">
        <f t="shared" si="12"/>
        <v>2656</v>
      </c>
      <c r="X20" s="208">
        <f t="shared" si="13"/>
        <v>5641.666666666667</v>
      </c>
      <c r="Y20" s="198">
        <f t="shared" si="14"/>
        <v>1072</v>
      </c>
      <c r="Z20" s="198">
        <f t="shared" si="15"/>
        <v>6714</v>
      </c>
      <c r="AA20" s="198">
        <f t="shared" si="16"/>
        <v>6714</v>
      </c>
      <c r="AB20" s="209">
        <f t="shared" si="17"/>
        <v>6742.1404860276634</v>
      </c>
      <c r="AC20" s="210">
        <f t="shared" si="18"/>
        <v>1.1950618291334114</v>
      </c>
      <c r="AE20" s="208">
        <f>IF(AND(AC20&gt;30%,AC20&lt;=60%),GEOMEAN(E20,I20,M20),IF(AC20&lt;=30%,AVERAGE(E20,I20,M20),AT20))</f>
        <v>1960.7389451840074</v>
      </c>
      <c r="AF20" s="198">
        <f t="shared" si="19"/>
        <v>373</v>
      </c>
      <c r="AG20" s="198">
        <f t="shared" si="20"/>
        <v>2334</v>
      </c>
      <c r="AH20" s="211">
        <f t="shared" si="21"/>
        <v>2334</v>
      </c>
      <c r="AI20" s="352">
        <v>0</v>
      </c>
      <c r="AK20" s="212">
        <f>AVERAGE(E20,I20,M20,T20)</f>
        <v>4789.3042088880056</v>
      </c>
      <c r="AL20" s="213">
        <f>STDEV(E20,I20,M20,T20)</f>
        <v>5762.8458762383598</v>
      </c>
      <c r="AM20" s="214">
        <f t="shared" ref="AM20:AM31" si="22">IFERROR(AL20/AK20,"")</f>
        <v>1.2032741343812849</v>
      </c>
      <c r="AN20" s="213">
        <f t="shared" ref="AN20:AN31" si="23">AK20-AL20</f>
        <v>-973.54166735035415</v>
      </c>
      <c r="AO20" s="213">
        <f t="shared" ref="AO20:AO31" si="24">AK20+AL20</f>
        <v>10552.150085126366</v>
      </c>
      <c r="AP20" s="215" t="str">
        <f>IF(AM20&gt;60%,IF(AND(ISNUMBER(E20),E20&gt;=AN20,E20&lt;=AO20),"PERMANECE",IF(ISNUMBER(E20),"SE ACOTA","SIN DATO")),"NO APLICA")</f>
        <v>PERMANECE</v>
      </c>
      <c r="AQ20" s="215" t="str">
        <f>IF(AM20&gt;60%,IF(AND(ISNUMBER(I20),I20&gt;=AN20,I20&lt;=AO20),"PERMANECE",IF(ISNUMBER(I20),"SE ACOTA","SIN DATO")),"NO APLICA")</f>
        <v>PERMANECE</v>
      </c>
      <c r="AR20" s="215" t="str">
        <f>IF(AM20&gt;60%,IF(AND(ISNUMBER(M20),M20&gt;=AN20,M20&lt;=AO20),"PERMANECE",IF(ISNUMBER(M20),"SE ACOTA","SIN DATO")),"NO APLICA")</f>
        <v>SE ACOTA</v>
      </c>
      <c r="AS20" s="215" t="str">
        <f>IF(AM20&gt;60%,IF(AND(ISNUMBER(T20),T20&gt;=AN20,T20&lt;=AO20),"PERMANECE",IF(ISNUMBER(T20),"SE ACOTA","SIN DATO")),"NO APLICA")</f>
        <v>PERMANECE</v>
      </c>
      <c r="AT20" s="216">
        <f>IF(AM20&gt;60%,IFERROR((IF(AND(ISNUMBER(E20),E20&gt;=AN20,E20&lt;=AO20),E20,0) + IF(AND(ISNUMBER(I20),I20&gt;=AN20,I20&lt;=AO20),I20,0) + IF(AND(ISNUMBER(M20),M20&gt;=AN20,M20&lt;=AO20),M20,0) + IF(AND(ISNUMBER(T20),T20&gt;=AN20,T20&lt;=AO20),T20,0))/(--AND(ISNUMBER(E20),E20&gt;=AN20,E20&lt;=AO20) + --AND(ISNUMBER(I20),I20&gt;=AN20,I20&lt;=AO20) + --AND(ISNUMBER(M20),M20&gt;=AN20,M20&lt;=AO20) + --AND(ISNUMBER(T20),T20&gt;=AN20,T20&lt;=AO20)),""),AVERAGE(E20,I20,M20,T20))</f>
        <v>1960.7389451840074</v>
      </c>
      <c r="AU20" s="217">
        <f>IF(AM20&gt;60%,IF((--AND(ISNUMBER(E20),E20&gt;=AN20,E20&lt;=AO20) + --AND(ISNUMBER(I20),I20&gt;=AN20,I20&lt;=AO20) + --AND(ISNUMBER(M20),M20&gt;=AN20,M20&lt;=AO20) + --AND(ISNUMBER(T20),T20&gt;=AN20,T20&lt;=AO20))&gt;=2,SQRT((IF(AND(ISNUMBER(E20),E20&gt;=AN20,E20&lt;=AO20),(E20-AT20)^2,0) + IF(AND(ISNUMBER(I20),I20&gt;=AN20,I20&lt;=AO20),(I20-AT20)^2,0) + IF(AND(ISNUMBER(M20),M20&gt;=AN20,M20&lt;=AO20),(M20-AT20)^2,0) + IF(AND(ISNUMBER(T20),T20&gt;=AN20,T20&lt;=AO20),(T20-AT20)^2,0))/((--AND(ISNUMBER(E20),E20&gt;=AN20,E20&lt;=AO20) + --AND(ISNUMBER(I20),I20&gt;=AN20,I20&lt;=AO20) + --AND(ISNUMBER(M20),M20&gt;=AN20,M20&lt;=AO20) + --AND(ISNUMBER(T20),T20&gt;=AN20,T20&lt;=AO20))-1))/AT20,""),AM20)</f>
        <v>0.68632130609288577</v>
      </c>
    </row>
    <row r="21" spans="1:47" ht="21.75" customHeight="1" x14ac:dyDescent="0.2">
      <c r="A21" s="111">
        <v>3</v>
      </c>
      <c r="B21" s="112" t="s">
        <v>92</v>
      </c>
      <c r="C21" s="113" t="s">
        <v>53</v>
      </c>
      <c r="D21" s="114">
        <v>1</v>
      </c>
      <c r="E21" s="29">
        <v>66200</v>
      </c>
      <c r="F21" s="115">
        <f t="shared" si="0"/>
        <v>12578</v>
      </c>
      <c r="G21" s="115">
        <f t="shared" si="1"/>
        <v>78778</v>
      </c>
      <c r="H21" s="116">
        <f t="shared" si="2"/>
        <v>78778</v>
      </c>
      <c r="I21" s="28">
        <v>65000</v>
      </c>
      <c r="J21" s="117">
        <f t="shared" si="3"/>
        <v>12350</v>
      </c>
      <c r="K21" s="117">
        <f t="shared" si="4"/>
        <v>77350</v>
      </c>
      <c r="L21" s="118">
        <f t="shared" si="5"/>
        <v>77350</v>
      </c>
      <c r="M21" s="28">
        <v>81675</v>
      </c>
      <c r="N21" s="115">
        <f t="shared" si="6"/>
        <v>15518</v>
      </c>
      <c r="O21" s="115">
        <f t="shared" si="7"/>
        <v>97193</v>
      </c>
      <c r="P21" s="118">
        <f t="shared" si="8"/>
        <v>97193</v>
      </c>
      <c r="Q21" s="119">
        <v>33613</v>
      </c>
      <c r="R21" s="120">
        <v>150.99</v>
      </c>
      <c r="S21" s="23">
        <v>160.41999999999999</v>
      </c>
      <c r="T21" s="100">
        <f t="shared" si="9"/>
        <v>35712.282005430818</v>
      </c>
      <c r="U21" s="22">
        <f t="shared" si="10"/>
        <v>6785</v>
      </c>
      <c r="V21" s="22">
        <f t="shared" si="11"/>
        <v>42497</v>
      </c>
      <c r="W21" s="61">
        <f t="shared" si="12"/>
        <v>42497</v>
      </c>
      <c r="X21" s="57">
        <f t="shared" si="13"/>
        <v>70958.333333333328</v>
      </c>
      <c r="Y21" s="117">
        <f t="shared" si="14"/>
        <v>13482</v>
      </c>
      <c r="Z21" s="117">
        <f t="shared" si="15"/>
        <v>84440</v>
      </c>
      <c r="AA21" s="117">
        <f t="shared" si="16"/>
        <v>84440</v>
      </c>
      <c r="AB21" s="82">
        <f t="shared" si="17"/>
        <v>9300.2800137056638</v>
      </c>
      <c r="AC21" s="50">
        <f t="shared" si="18"/>
        <v>0.13106677647030884</v>
      </c>
      <c r="AE21" s="57">
        <f>AVERAGE(E21,I21,M21)</f>
        <v>70958.333333333328</v>
      </c>
      <c r="AF21" s="117">
        <f t="shared" si="19"/>
        <v>13482</v>
      </c>
      <c r="AG21" s="117">
        <f t="shared" si="20"/>
        <v>84440</v>
      </c>
      <c r="AH21" s="188">
        <f t="shared" si="21"/>
        <v>84440</v>
      </c>
      <c r="AI21" s="351">
        <f>STDEV(E21,I21,M21)</f>
        <v>9300.2800137056638</v>
      </c>
      <c r="AK21" s="172"/>
      <c r="AL21" s="173"/>
      <c r="AM21" s="160"/>
      <c r="AN21" s="173"/>
      <c r="AO21" s="173"/>
      <c r="AP21" s="161"/>
      <c r="AQ21" s="161"/>
      <c r="AR21" s="161"/>
      <c r="AS21" s="161"/>
      <c r="AT21" s="175"/>
      <c r="AU21" s="162"/>
    </row>
    <row r="22" spans="1:47" ht="24.75" customHeight="1" x14ac:dyDescent="0.2">
      <c r="A22" s="111">
        <v>4</v>
      </c>
      <c r="B22" s="16" t="s">
        <v>93</v>
      </c>
      <c r="C22" s="113" t="s">
        <v>53</v>
      </c>
      <c r="D22" s="114">
        <v>1</v>
      </c>
      <c r="E22" s="29">
        <v>18650</v>
      </c>
      <c r="F22" s="115">
        <f t="shared" si="0"/>
        <v>3544</v>
      </c>
      <c r="G22" s="115">
        <f t="shared" si="1"/>
        <v>22194</v>
      </c>
      <c r="H22" s="116">
        <f t="shared" si="2"/>
        <v>22194</v>
      </c>
      <c r="I22" s="98">
        <v>65000</v>
      </c>
      <c r="J22" s="117">
        <f t="shared" si="3"/>
        <v>12350</v>
      </c>
      <c r="K22" s="117">
        <f t="shared" si="4"/>
        <v>77350</v>
      </c>
      <c r="L22" s="118">
        <f t="shared" si="5"/>
        <v>77350</v>
      </c>
      <c r="M22" s="28">
        <v>57750</v>
      </c>
      <c r="N22" s="115">
        <f t="shared" si="6"/>
        <v>10973</v>
      </c>
      <c r="O22" s="115">
        <f t="shared" si="7"/>
        <v>68723</v>
      </c>
      <c r="P22" s="118">
        <f t="shared" si="8"/>
        <v>68723</v>
      </c>
      <c r="Q22" s="119">
        <v>29412</v>
      </c>
      <c r="R22" s="120">
        <v>150.99</v>
      </c>
      <c r="S22" s="23">
        <v>160.41999999999999</v>
      </c>
      <c r="T22" s="100">
        <f t="shared" si="9"/>
        <v>31248.910788793957</v>
      </c>
      <c r="U22" s="22">
        <f t="shared" si="10"/>
        <v>5937</v>
      </c>
      <c r="V22" s="22">
        <f t="shared" si="11"/>
        <v>37186</v>
      </c>
      <c r="W22" s="61">
        <f t="shared" si="12"/>
        <v>37186</v>
      </c>
      <c r="X22" s="57">
        <f t="shared" si="13"/>
        <v>47133.333333333336</v>
      </c>
      <c r="Y22" s="117">
        <f t="shared" si="14"/>
        <v>8955</v>
      </c>
      <c r="Z22" s="117">
        <f t="shared" si="15"/>
        <v>56088</v>
      </c>
      <c r="AA22" s="117">
        <f t="shared" si="16"/>
        <v>56088</v>
      </c>
      <c r="AB22" s="82">
        <f t="shared" si="17"/>
        <v>24932.224797104118</v>
      </c>
      <c r="AC22" s="50">
        <f t="shared" si="18"/>
        <v>0.52897223756232215</v>
      </c>
      <c r="AE22" s="57">
        <f>GEOMEAN(E22,I22,M22)</f>
        <v>41214.312568270689</v>
      </c>
      <c r="AF22" s="117">
        <f t="shared" si="19"/>
        <v>7831</v>
      </c>
      <c r="AG22" s="117">
        <f t="shared" si="20"/>
        <v>49045</v>
      </c>
      <c r="AH22" s="188">
        <f t="shared" si="21"/>
        <v>49045</v>
      </c>
      <c r="AI22" s="351">
        <f>STDEV(E22,I22,M22)</f>
        <v>24932.224797104118</v>
      </c>
      <c r="AK22" s="172"/>
      <c r="AL22" s="173"/>
      <c r="AM22" s="160"/>
      <c r="AN22" s="173"/>
      <c r="AO22" s="173"/>
      <c r="AP22" s="161"/>
      <c r="AQ22" s="161"/>
      <c r="AR22" s="161"/>
      <c r="AS22" s="161"/>
      <c r="AT22" s="175"/>
      <c r="AU22" s="162"/>
    </row>
    <row r="23" spans="1:47" s="182" customFormat="1" ht="24.75" customHeight="1" x14ac:dyDescent="0.2">
      <c r="A23" s="193">
        <v>5</v>
      </c>
      <c r="B23" s="221" t="s">
        <v>94</v>
      </c>
      <c r="C23" s="195" t="s">
        <v>53</v>
      </c>
      <c r="D23" s="251">
        <v>1</v>
      </c>
      <c r="E23" s="291">
        <v>41350</v>
      </c>
      <c r="F23" s="222">
        <f t="shared" si="0"/>
        <v>7857</v>
      </c>
      <c r="G23" s="222">
        <f t="shared" si="1"/>
        <v>49207</v>
      </c>
      <c r="H23" s="223">
        <f t="shared" si="2"/>
        <v>49207</v>
      </c>
      <c r="I23" s="295">
        <v>25000</v>
      </c>
      <c r="J23" s="198">
        <f t="shared" si="3"/>
        <v>4750</v>
      </c>
      <c r="K23" s="198">
        <f t="shared" si="4"/>
        <v>29750</v>
      </c>
      <c r="L23" s="256">
        <f t="shared" si="5"/>
        <v>29750</v>
      </c>
      <c r="M23" s="273">
        <v>8250</v>
      </c>
      <c r="N23" s="222">
        <f t="shared" si="6"/>
        <v>1568</v>
      </c>
      <c r="O23" s="222">
        <f t="shared" si="7"/>
        <v>9818</v>
      </c>
      <c r="P23" s="256">
        <f t="shared" si="8"/>
        <v>9818</v>
      </c>
      <c r="Q23" s="292">
        <v>6723</v>
      </c>
      <c r="R23" s="293">
        <v>150.99</v>
      </c>
      <c r="S23" s="204">
        <v>160.41999999999999</v>
      </c>
      <c r="T23" s="294">
        <f t="shared" si="9"/>
        <v>7142.8813828730372</v>
      </c>
      <c r="U23" s="198">
        <f t="shared" si="10"/>
        <v>1357</v>
      </c>
      <c r="V23" s="198">
        <f t="shared" si="11"/>
        <v>8500</v>
      </c>
      <c r="W23" s="201">
        <f t="shared" si="12"/>
        <v>8500</v>
      </c>
      <c r="X23" s="208">
        <f t="shared" si="13"/>
        <v>24866.666666666668</v>
      </c>
      <c r="Y23" s="198">
        <f t="shared" si="14"/>
        <v>4725</v>
      </c>
      <c r="Z23" s="198">
        <f t="shared" si="15"/>
        <v>29592</v>
      </c>
      <c r="AA23" s="198">
        <f t="shared" si="16"/>
        <v>29592</v>
      </c>
      <c r="AB23" s="209">
        <f t="shared" si="17"/>
        <v>16550.402814836059</v>
      </c>
      <c r="AC23" s="210">
        <f t="shared" si="18"/>
        <v>0.66556579684327311</v>
      </c>
      <c r="AE23" s="208">
        <f>IF(AND(AC23&gt;30%,AC23&lt;=60%),GEOMEAN(E23,I23,M23),IF(AC23&lt;=30%,AVERAGE(E23,I23,M23),AT23))</f>
        <v>13464.293794291012</v>
      </c>
      <c r="AF23" s="198">
        <f t="shared" si="19"/>
        <v>2558</v>
      </c>
      <c r="AG23" s="198">
        <f t="shared" si="20"/>
        <v>16022</v>
      </c>
      <c r="AH23" s="211">
        <f t="shared" si="21"/>
        <v>16022</v>
      </c>
      <c r="AI23" s="352">
        <v>0</v>
      </c>
      <c r="AK23" s="212">
        <f>AVERAGE(E23,I23,M23,T23)</f>
        <v>20435.720345718259</v>
      </c>
      <c r="AL23" s="213">
        <f>STDEV(E23,I23,M23,T23)</f>
        <v>16159.941112270815</v>
      </c>
      <c r="AM23" s="214">
        <f t="shared" si="22"/>
        <v>0.79076934107961039</v>
      </c>
      <c r="AN23" s="213">
        <f t="shared" si="23"/>
        <v>4275.7792334474434</v>
      </c>
      <c r="AO23" s="213">
        <f t="shared" si="24"/>
        <v>36595.661457989074</v>
      </c>
      <c r="AP23" s="215" t="str">
        <f>IF(AM23&gt;60%,IF(AND(ISNUMBER(E23),E23&gt;=AN23,E23&lt;=AO23),"PERMANECE",IF(ISNUMBER(E23),"SE ACOTA","SIN DATO")),"NO APLICA")</f>
        <v>SE ACOTA</v>
      </c>
      <c r="AQ23" s="215" t="str">
        <f>IF(AM23&gt;60%,IF(AND(ISNUMBER(I23),I23&gt;=AN23,I23&lt;=AO23),"PERMANECE",IF(ISNUMBER(I23),"SE ACOTA","SIN DATO")),"NO APLICA")</f>
        <v>PERMANECE</v>
      </c>
      <c r="AR23" s="215" t="str">
        <f>IF(AM23&gt;60%,IF(AND(ISNUMBER(M23),M23&gt;=AN23,M23&lt;=AO23),"PERMANECE",IF(ISNUMBER(M23),"SE ACOTA","SIN DATO")),"NO APLICA")</f>
        <v>PERMANECE</v>
      </c>
      <c r="AS23" s="215" t="str">
        <f>IF(AM23&gt;60%,IF(AND(ISNUMBER(T23),T23&gt;=AN23,T23&lt;=AO23),"PERMANECE",IF(ISNUMBER(T23),"SE ACOTA","SIN DATO")),"NO APLICA")</f>
        <v>PERMANECE</v>
      </c>
      <c r="AT23" s="216">
        <f>IF(AM23&gt;60%,IFERROR((IF(AND(ISNUMBER(E23),E23&gt;=AN23,E23&lt;=AO23),E23,0) + IF(AND(ISNUMBER(I23),I23&gt;=AN23,I23&lt;=AO23),I23,0) + IF(AND(ISNUMBER(M23),M23&gt;=AN23,M23&lt;=AO23),M23,0) + IF(AND(ISNUMBER(T23),T23&gt;=AN23,T23&lt;=AO23),T23,0))/(--AND(ISNUMBER(E23),E23&gt;=AN23,E23&lt;=AO23) + --AND(ISNUMBER(I23),I23&gt;=AN23,I23&lt;=AO23) + --AND(ISNUMBER(M23),M23&gt;=AN23,M23&lt;=AO23) + --AND(ISNUMBER(T23),T23&gt;=AN23,T23&lt;=AO23)),""),AVERAGE(E23,I23,M23,T23))</f>
        <v>13464.293794291012</v>
      </c>
      <c r="AU23" s="217">
        <f>IF(AM23&gt;60%,IF((--AND(ISNUMBER(E23),E23&gt;=AN23,E23&lt;=AO23) + --AND(ISNUMBER(I23),I23&gt;=AN23,I23&lt;=AO23) + --AND(ISNUMBER(M23),M23&gt;=AN23,M23&lt;=AO23) + --AND(ISNUMBER(T23),T23&gt;=AN23,T23&lt;=AO23))&gt;=2,SQRT((IF(AND(ISNUMBER(E23),E23&gt;=AN23,E23&lt;=AO23),(E23-AT23)^2,0) + IF(AND(ISNUMBER(I23),I23&gt;=AN23,I23&lt;=AO23),(I23-AT23)^2,0) + IF(AND(ISNUMBER(M23),M23&gt;=AN23,M23&lt;=AO23),(M23-AT23)^2,0) + IF(AND(ISNUMBER(T23),T23&gt;=AN23,T23&lt;=AO23),(T23-AT23)^2,0))/((--AND(ISNUMBER(E23),E23&gt;=AN23,E23&lt;=AO23) + --AND(ISNUMBER(I23),I23&gt;=AN23,I23&lt;=AO23) + --AND(ISNUMBER(M23),M23&gt;=AN23,M23&lt;=AO23) + --AND(ISNUMBER(T23),T23&gt;=AN23,T23&lt;=AO23))-1))/AT23,""),AM23)</f>
        <v>0.74311652928175964</v>
      </c>
    </row>
    <row r="24" spans="1:47" ht="24.75" customHeight="1" x14ac:dyDescent="0.2">
      <c r="A24" s="111">
        <v>6</v>
      </c>
      <c r="B24" s="112" t="s">
        <v>95</v>
      </c>
      <c r="C24" s="113" t="s">
        <v>53</v>
      </c>
      <c r="D24" s="114">
        <v>1</v>
      </c>
      <c r="E24" s="29">
        <v>24850</v>
      </c>
      <c r="F24" s="115">
        <f t="shared" si="0"/>
        <v>4722</v>
      </c>
      <c r="G24" s="115">
        <f t="shared" si="1"/>
        <v>29572</v>
      </c>
      <c r="H24" s="116">
        <f t="shared" si="2"/>
        <v>29572</v>
      </c>
      <c r="I24" s="98">
        <v>15000</v>
      </c>
      <c r="J24" s="117">
        <f t="shared" si="3"/>
        <v>2850</v>
      </c>
      <c r="K24" s="117">
        <f t="shared" si="4"/>
        <v>17850</v>
      </c>
      <c r="L24" s="118">
        <f t="shared" si="5"/>
        <v>17850</v>
      </c>
      <c r="M24" s="28">
        <v>8250</v>
      </c>
      <c r="N24" s="115">
        <f t="shared" si="6"/>
        <v>1568</v>
      </c>
      <c r="O24" s="115">
        <f t="shared" si="7"/>
        <v>9818</v>
      </c>
      <c r="P24" s="118">
        <f t="shared" si="8"/>
        <v>9818</v>
      </c>
      <c r="Q24" s="119">
        <v>5042</v>
      </c>
      <c r="R24" s="120">
        <v>150.99</v>
      </c>
      <c r="S24" s="23">
        <v>160.41999999999999</v>
      </c>
      <c r="T24" s="100">
        <f t="shared" si="9"/>
        <v>5356.8954235379815</v>
      </c>
      <c r="U24" s="117">
        <f t="shared" si="10"/>
        <v>1018</v>
      </c>
      <c r="V24" s="117">
        <f t="shared" si="11"/>
        <v>6375</v>
      </c>
      <c r="W24" s="121">
        <f t="shared" si="12"/>
        <v>6375</v>
      </c>
      <c r="X24" s="57">
        <f t="shared" si="13"/>
        <v>16033.333333333334</v>
      </c>
      <c r="Y24" s="117">
        <f t="shared" si="14"/>
        <v>3046</v>
      </c>
      <c r="Z24" s="117">
        <f t="shared" si="15"/>
        <v>19079</v>
      </c>
      <c r="AA24" s="117">
        <f t="shared" si="16"/>
        <v>19079</v>
      </c>
      <c r="AB24" s="82">
        <f t="shared" si="17"/>
        <v>8348.1035770606795</v>
      </c>
      <c r="AC24" s="50">
        <f t="shared" si="18"/>
        <v>0.52067174077301537</v>
      </c>
      <c r="AE24" s="57">
        <f>GEOMEAN(E24,I24,M24)</f>
        <v>14541.990844882428</v>
      </c>
      <c r="AF24" s="117">
        <f t="shared" si="19"/>
        <v>2763</v>
      </c>
      <c r="AG24" s="117">
        <f t="shared" si="20"/>
        <v>17305</v>
      </c>
      <c r="AH24" s="188">
        <f t="shared" si="21"/>
        <v>17305</v>
      </c>
      <c r="AI24" s="351">
        <f>STDEV(E24,I24,M24)</f>
        <v>8348.1035770606795</v>
      </c>
      <c r="AK24" s="172"/>
      <c r="AL24" s="173"/>
      <c r="AM24" s="160"/>
      <c r="AN24" s="173"/>
      <c r="AO24" s="173"/>
      <c r="AP24" s="161"/>
      <c r="AQ24" s="161"/>
      <c r="AR24" s="161"/>
      <c r="AS24" s="161"/>
      <c r="AT24" s="175"/>
      <c r="AU24" s="162"/>
    </row>
    <row r="25" spans="1:47" ht="24" customHeight="1" x14ac:dyDescent="0.2">
      <c r="A25" s="111">
        <v>7</v>
      </c>
      <c r="B25" s="112" t="s">
        <v>96</v>
      </c>
      <c r="C25" s="113" t="s">
        <v>53</v>
      </c>
      <c r="D25" s="114">
        <v>1</v>
      </c>
      <c r="E25" s="29">
        <v>43300</v>
      </c>
      <c r="F25" s="115">
        <f t="shared" si="0"/>
        <v>8227</v>
      </c>
      <c r="G25" s="115">
        <f t="shared" si="1"/>
        <v>51527</v>
      </c>
      <c r="H25" s="116">
        <f t="shared" si="2"/>
        <v>51527</v>
      </c>
      <c r="I25" s="98">
        <v>15000</v>
      </c>
      <c r="J25" s="117">
        <f t="shared" si="3"/>
        <v>2850</v>
      </c>
      <c r="K25" s="117">
        <f t="shared" si="4"/>
        <v>17850</v>
      </c>
      <c r="L25" s="118">
        <f t="shared" si="5"/>
        <v>17850</v>
      </c>
      <c r="M25" s="28">
        <v>24750</v>
      </c>
      <c r="N25" s="115">
        <f t="shared" si="6"/>
        <v>4703</v>
      </c>
      <c r="O25" s="115">
        <f t="shared" si="7"/>
        <v>29453</v>
      </c>
      <c r="P25" s="118">
        <f t="shared" si="8"/>
        <v>29453</v>
      </c>
      <c r="Q25" s="119">
        <v>5882</v>
      </c>
      <c r="R25" s="120">
        <v>150.99</v>
      </c>
      <c r="S25" s="23">
        <v>160.41999999999999</v>
      </c>
      <c r="T25" s="100">
        <f t="shared" si="9"/>
        <v>6249.357175971918</v>
      </c>
      <c r="U25" s="117">
        <f t="shared" si="10"/>
        <v>1187</v>
      </c>
      <c r="V25" s="117">
        <f t="shared" si="11"/>
        <v>7436</v>
      </c>
      <c r="W25" s="121">
        <f t="shared" si="12"/>
        <v>7436</v>
      </c>
      <c r="X25" s="57">
        <f t="shared" si="13"/>
        <v>27683.333333333332</v>
      </c>
      <c r="Y25" s="117">
        <f t="shared" si="14"/>
        <v>5260</v>
      </c>
      <c r="Z25" s="117">
        <f t="shared" si="15"/>
        <v>32943</v>
      </c>
      <c r="AA25" s="117">
        <f t="shared" si="16"/>
        <v>32943</v>
      </c>
      <c r="AB25" s="82">
        <f t="shared" si="17"/>
        <v>14376.224585520818</v>
      </c>
      <c r="AC25" s="50">
        <f t="shared" si="18"/>
        <v>0.51930973818859072</v>
      </c>
      <c r="AE25" s="57">
        <f>GEOMEAN(E25,I25,M25)</f>
        <v>25237.79758728337</v>
      </c>
      <c r="AF25" s="117">
        <f t="shared" si="19"/>
        <v>4795</v>
      </c>
      <c r="AG25" s="117">
        <f t="shared" si="20"/>
        <v>30033</v>
      </c>
      <c r="AH25" s="188">
        <f t="shared" si="21"/>
        <v>30033</v>
      </c>
      <c r="AI25" s="351">
        <f>STDEV(E25,I25,M25)</f>
        <v>14376.224585520818</v>
      </c>
      <c r="AK25" s="172"/>
      <c r="AL25" s="173"/>
      <c r="AM25" s="160"/>
      <c r="AN25" s="173"/>
      <c r="AO25" s="173"/>
      <c r="AP25" s="161"/>
      <c r="AQ25" s="161"/>
      <c r="AR25" s="161"/>
      <c r="AS25" s="161"/>
      <c r="AT25" s="175"/>
      <c r="AU25" s="162"/>
    </row>
    <row r="26" spans="1:47" s="182" customFormat="1" ht="26.25" customHeight="1" x14ac:dyDescent="0.2">
      <c r="A26" s="193">
        <v>8</v>
      </c>
      <c r="B26" s="221" t="s">
        <v>97</v>
      </c>
      <c r="C26" s="195" t="s">
        <v>53</v>
      </c>
      <c r="D26" s="251">
        <v>1</v>
      </c>
      <c r="E26" s="291">
        <v>6250</v>
      </c>
      <c r="F26" s="222">
        <f t="shared" si="0"/>
        <v>1188</v>
      </c>
      <c r="G26" s="222">
        <f t="shared" si="1"/>
        <v>7438</v>
      </c>
      <c r="H26" s="223">
        <f t="shared" si="2"/>
        <v>7438</v>
      </c>
      <c r="I26" s="295">
        <v>500</v>
      </c>
      <c r="J26" s="198">
        <f t="shared" si="3"/>
        <v>95</v>
      </c>
      <c r="K26" s="198">
        <f t="shared" si="4"/>
        <v>595</v>
      </c>
      <c r="L26" s="256">
        <f t="shared" si="5"/>
        <v>595</v>
      </c>
      <c r="M26" s="273">
        <v>165</v>
      </c>
      <c r="N26" s="222">
        <f t="shared" si="6"/>
        <v>31</v>
      </c>
      <c r="O26" s="222">
        <f t="shared" si="7"/>
        <v>196</v>
      </c>
      <c r="P26" s="256">
        <f t="shared" si="8"/>
        <v>196</v>
      </c>
      <c r="Q26" s="292">
        <v>34</v>
      </c>
      <c r="R26" s="293">
        <v>150.99</v>
      </c>
      <c r="S26" s="204">
        <v>160.41999999999999</v>
      </c>
      <c r="T26" s="294">
        <f t="shared" si="9"/>
        <v>36.123451884230739</v>
      </c>
      <c r="U26" s="198">
        <f t="shared" si="10"/>
        <v>7</v>
      </c>
      <c r="V26" s="198">
        <f t="shared" si="11"/>
        <v>43</v>
      </c>
      <c r="W26" s="201">
        <f t="shared" si="12"/>
        <v>43</v>
      </c>
      <c r="X26" s="208">
        <f t="shared" si="13"/>
        <v>2305</v>
      </c>
      <c r="Y26" s="198">
        <f t="shared" si="14"/>
        <v>438</v>
      </c>
      <c r="Z26" s="198">
        <f t="shared" si="15"/>
        <v>2743</v>
      </c>
      <c r="AA26" s="198">
        <f t="shared" si="16"/>
        <v>2743</v>
      </c>
      <c r="AB26" s="209">
        <f t="shared" si="17"/>
        <v>3420.5737822768856</v>
      </c>
      <c r="AC26" s="210">
        <f t="shared" si="18"/>
        <v>1.4839799489270653</v>
      </c>
      <c r="AE26" s="208">
        <f>IF(AND(AC26&gt;30%,AC26&lt;=60%),GEOMEAN(E26,I26,M26),IF(AC26&lt;=30%,AVERAGE(E26,I26,M26),AT26))</f>
        <v>233.70781729474356</v>
      </c>
      <c r="AF26" s="198">
        <f t="shared" si="19"/>
        <v>44</v>
      </c>
      <c r="AG26" s="198">
        <f t="shared" si="20"/>
        <v>278</v>
      </c>
      <c r="AH26" s="211">
        <f t="shared" si="21"/>
        <v>278</v>
      </c>
      <c r="AI26" s="352">
        <v>0</v>
      </c>
      <c r="AK26" s="212">
        <f>AVERAGE(E26,I26,M26,T26)</f>
        <v>1737.7808629710578</v>
      </c>
      <c r="AL26" s="213">
        <f>STDEV(E26,I26,M26,T26)</f>
        <v>3014.4928038252306</v>
      </c>
      <c r="AM26" s="214">
        <f t="shared" si="22"/>
        <v>1.7346794800533121</v>
      </c>
      <c r="AN26" s="213">
        <f t="shared" si="23"/>
        <v>-1276.7119408541728</v>
      </c>
      <c r="AO26" s="213">
        <f t="shared" si="24"/>
        <v>4752.2736667962881</v>
      </c>
      <c r="AP26" s="215" t="str">
        <f>IF(AM26&gt;60%,IF(AND(ISNUMBER(E26),E26&gt;=AN26,E26&lt;=AO26),"PERMANECE",IF(ISNUMBER(E26),"SE ACOTA","SIN DATO")),"NO APLICA")</f>
        <v>SE ACOTA</v>
      </c>
      <c r="AQ26" s="215" t="str">
        <f>IF(AM26&gt;60%,IF(AND(ISNUMBER(I26),I26&gt;=AN26,I26&lt;=AO26),"PERMANECE",IF(ISNUMBER(I26),"SE ACOTA","SIN DATO")),"NO APLICA")</f>
        <v>PERMANECE</v>
      </c>
      <c r="AR26" s="215" t="str">
        <f>IF(AM26&gt;60%,IF(AND(ISNUMBER(M26),M26&gt;=AN26,M26&lt;=AO26),"PERMANECE",IF(ISNUMBER(M26),"SE ACOTA","SIN DATO")),"NO APLICA")</f>
        <v>PERMANECE</v>
      </c>
      <c r="AS26" s="215" t="str">
        <f>IF(AM26&gt;60%,IF(AND(ISNUMBER(T26),T26&gt;=AN26,T26&lt;=AO26),"PERMANECE",IF(ISNUMBER(T26),"SE ACOTA","SIN DATO")),"NO APLICA")</f>
        <v>PERMANECE</v>
      </c>
      <c r="AT26" s="216">
        <f>IF(AM26&gt;60%,IFERROR((IF(AND(ISNUMBER(E26),E26&gt;=AN26,E26&lt;=AO26),E26,0) + IF(AND(ISNUMBER(I26),I26&gt;=AN26,I26&lt;=AO26),I26,0) + IF(AND(ISNUMBER(M26),M26&gt;=AN26,M26&lt;=AO26),M26,0) + IF(AND(ISNUMBER(T26),T26&gt;=AN26,T26&lt;=AO26),T26,0))/(--AND(ISNUMBER(E26),E26&gt;=AN26,E26&lt;=AO26) + --AND(ISNUMBER(I26),I26&gt;=AN26,I26&lt;=AO26) + --AND(ISNUMBER(M26),M26&gt;=AN26,M26&lt;=AO26) + --AND(ISNUMBER(T26),T26&gt;=AN26,T26&lt;=AO26)),""),AVERAGE(E26,I26,M26,T26))</f>
        <v>233.70781729474356</v>
      </c>
      <c r="AU26" s="217">
        <f>IF(AM26&gt;60%,IF((--AND(ISNUMBER(E26),E26&gt;=AN26,E26&lt;=AO26) + --AND(ISNUMBER(I26),I26&gt;=AN26,I26&lt;=AO26) + --AND(ISNUMBER(M26),M26&gt;=AN26,M26&lt;=AO26) + --AND(ISNUMBER(T26),T26&gt;=AN26,T26&lt;=AO26))&gt;=2,SQRT((IF(AND(ISNUMBER(E26),E26&gt;=AN26,E26&lt;=AO26),(E26-AT26)^2,0) + IF(AND(ISNUMBER(I26),I26&gt;=AN26,I26&lt;=AO26),(I26-AT26)^2,0) + IF(AND(ISNUMBER(M26),M26&gt;=AN26,M26&lt;=AO26),(M26-AT26)^2,0) + IF(AND(ISNUMBER(T26),T26&gt;=AN26,T26&lt;=AO26),(T26-AT26)^2,0))/((--AND(ISNUMBER(E26),E26&gt;=AN26,E26&lt;=AO26) + --AND(ISNUMBER(I26),I26&gt;=AN26,I26&lt;=AO26) + --AND(ISNUMBER(M26),M26&gt;=AN26,M26&lt;=AO26) + --AND(ISNUMBER(T26),T26&gt;=AN26,T26&lt;=AO26))-1))/AT26,""),AM26)</f>
        <v>1.0245666476417277</v>
      </c>
    </row>
    <row r="27" spans="1:47" s="182" customFormat="1" ht="27" customHeight="1" x14ac:dyDescent="0.2">
      <c r="A27" s="193">
        <v>9</v>
      </c>
      <c r="B27" s="221" t="s">
        <v>98</v>
      </c>
      <c r="C27" s="195" t="s">
        <v>53</v>
      </c>
      <c r="D27" s="251">
        <v>1</v>
      </c>
      <c r="E27" s="291">
        <v>176</v>
      </c>
      <c r="F27" s="222">
        <f t="shared" si="0"/>
        <v>33</v>
      </c>
      <c r="G27" s="222">
        <f t="shared" si="1"/>
        <v>209</v>
      </c>
      <c r="H27" s="223">
        <f t="shared" si="2"/>
        <v>209</v>
      </c>
      <c r="I27" s="295">
        <v>1200</v>
      </c>
      <c r="J27" s="198">
        <f t="shared" si="3"/>
        <v>228</v>
      </c>
      <c r="K27" s="198">
        <f t="shared" si="4"/>
        <v>1428</v>
      </c>
      <c r="L27" s="256">
        <f t="shared" si="5"/>
        <v>1428</v>
      </c>
      <c r="M27" s="273">
        <v>182</v>
      </c>
      <c r="N27" s="222">
        <f t="shared" si="6"/>
        <v>35</v>
      </c>
      <c r="O27" s="222">
        <f t="shared" si="7"/>
        <v>217</v>
      </c>
      <c r="P27" s="256">
        <f t="shared" si="8"/>
        <v>217</v>
      </c>
      <c r="Q27" s="292">
        <v>42</v>
      </c>
      <c r="R27" s="293">
        <v>150.99</v>
      </c>
      <c r="S27" s="204">
        <v>160.41999999999999</v>
      </c>
      <c r="T27" s="294">
        <f t="shared" si="9"/>
        <v>44.623087621696797</v>
      </c>
      <c r="U27" s="198">
        <f t="shared" si="10"/>
        <v>8</v>
      </c>
      <c r="V27" s="198">
        <f t="shared" si="11"/>
        <v>53</v>
      </c>
      <c r="W27" s="201">
        <f t="shared" si="12"/>
        <v>53</v>
      </c>
      <c r="X27" s="208">
        <f t="shared" si="13"/>
        <v>519.33333333333337</v>
      </c>
      <c r="Y27" s="198">
        <f t="shared" si="14"/>
        <v>99</v>
      </c>
      <c r="Z27" s="198">
        <f t="shared" si="15"/>
        <v>618</v>
      </c>
      <c r="AA27" s="198">
        <f t="shared" si="16"/>
        <v>618</v>
      </c>
      <c r="AB27" s="209">
        <f t="shared" si="17"/>
        <v>589.48225870956742</v>
      </c>
      <c r="AC27" s="210">
        <f t="shared" si="18"/>
        <v>1.1350749525858166</v>
      </c>
      <c r="AE27" s="208">
        <f>IF(AND(AC27&gt;30%,AC27&lt;=60%),GEOMEAN(E27,I27,M27),IF(AC27&lt;=30%,AVERAGE(E27,I27,M27),AT27))</f>
        <v>134.20769587389893</v>
      </c>
      <c r="AF27" s="198">
        <f t="shared" si="19"/>
        <v>25</v>
      </c>
      <c r="AG27" s="198">
        <f t="shared" si="20"/>
        <v>159</v>
      </c>
      <c r="AH27" s="211">
        <f t="shared" si="21"/>
        <v>159</v>
      </c>
      <c r="AI27" s="352">
        <v>0</v>
      </c>
      <c r="AK27" s="212">
        <f>AVERAGE(E27,I27,M27,T27)</f>
        <v>400.65577190542422</v>
      </c>
      <c r="AL27" s="213">
        <f>STDEV(E27,I27,M27,T27)</f>
        <v>536.65352873288384</v>
      </c>
      <c r="AM27" s="214">
        <f t="shared" si="22"/>
        <v>1.339437907460278</v>
      </c>
      <c r="AN27" s="213">
        <f t="shared" si="23"/>
        <v>-135.99775682745963</v>
      </c>
      <c r="AO27" s="213">
        <f t="shared" si="24"/>
        <v>937.30930063830806</v>
      </c>
      <c r="AP27" s="215" t="str">
        <f>IF(AM27&gt;60%,IF(AND(ISNUMBER(E27),E27&gt;=AN27,E27&lt;=AO27),"PERMANECE",IF(ISNUMBER(E27),"SE ACOTA","SIN DATO")),"NO APLICA")</f>
        <v>PERMANECE</v>
      </c>
      <c r="AQ27" s="215" t="str">
        <f>IF(AM27&gt;60%,IF(AND(ISNUMBER(I27),I27&gt;=AN27,I27&lt;=AO27),"PERMANECE",IF(ISNUMBER(I27),"SE ACOTA","SIN DATO")),"NO APLICA")</f>
        <v>SE ACOTA</v>
      </c>
      <c r="AR27" s="215" t="str">
        <f>IF(AM27&gt;60%,IF(AND(ISNUMBER(M27),M27&gt;=AN27,M27&lt;=AO27),"PERMANECE",IF(ISNUMBER(M27),"SE ACOTA","SIN DATO")),"NO APLICA")</f>
        <v>PERMANECE</v>
      </c>
      <c r="AS27" s="215" t="str">
        <f>IF(AM27&gt;60%,IF(AND(ISNUMBER(T27),T27&gt;=AN27,T27&lt;=AO27),"PERMANECE",IF(ISNUMBER(T27),"SE ACOTA","SIN DATO")),"NO APLICA")</f>
        <v>PERMANECE</v>
      </c>
      <c r="AT27" s="216">
        <f>IF(AM27&gt;60%,IFERROR((IF(AND(ISNUMBER(E27),E27&gt;=AN27,E27&lt;=AO27),E27,0) + IF(AND(ISNUMBER(I27),I27&gt;=AN27,I27&lt;=AO27),I27,0) + IF(AND(ISNUMBER(M27),M27&gt;=AN27,M27&lt;=AO27),M27,0) + IF(AND(ISNUMBER(T27),T27&gt;=AN27,T27&lt;=AO27),T27,0))/(--AND(ISNUMBER(E27),E27&gt;=AN27,E27&lt;=AO27) + --AND(ISNUMBER(I27),I27&gt;=AN27,I27&lt;=AO27) + --AND(ISNUMBER(M27),M27&gt;=AN27,M27&lt;=AO27) + --AND(ISNUMBER(T27),T27&gt;=AN27,T27&lt;=AO27)),""),AVERAGE(E27,I27,M27,T27))</f>
        <v>134.20769587389893</v>
      </c>
      <c r="AU27" s="217">
        <f>IF(AM27&gt;60%,IF((--AND(ISNUMBER(E27),E27&gt;=AN27,E27&lt;=AO27) + --AND(ISNUMBER(I27),I27&gt;=AN27,I27&lt;=AO27) + --AND(ISNUMBER(M27),M27&gt;=AN27,M27&lt;=AO27) + --AND(ISNUMBER(T27),T27&gt;=AN27,T27&lt;=AO27))&gt;=2,SQRT((IF(AND(ISNUMBER(E27),E27&gt;=AN27,E27&lt;=AO27),(E27-AT27)^2,0) + IF(AND(ISNUMBER(I27),I27&gt;=AN27,I27&lt;=AO27),(I27-AT27)^2,0) + IF(AND(ISNUMBER(M27),M27&gt;=AN27,M27&lt;=AO27),(M27-AT27)^2,0) + IF(AND(ISNUMBER(T27),T27&gt;=AN27,T27&lt;=AO27),(T27-AT27)^2,0))/((--AND(ISNUMBER(E27),E27&gt;=AN27,E27&lt;=AO27) + --AND(ISNUMBER(I27),I27&gt;=AN27,I27&lt;=AO27) + --AND(ISNUMBER(M27),M27&gt;=AN27,M27&lt;=AO27) + --AND(ISNUMBER(T27),T27&gt;=AN27,T27&lt;=AO27))-1))/AT27,""),AM27)</f>
        <v>0.57851024935189466</v>
      </c>
    </row>
    <row r="28" spans="1:47" s="182" customFormat="1" ht="27" customHeight="1" x14ac:dyDescent="0.2">
      <c r="A28" s="193">
        <v>10</v>
      </c>
      <c r="B28" s="221" t="s">
        <v>99</v>
      </c>
      <c r="C28" s="195" t="s">
        <v>53</v>
      </c>
      <c r="D28" s="251">
        <v>1</v>
      </c>
      <c r="E28" s="291">
        <v>830</v>
      </c>
      <c r="F28" s="222">
        <f t="shared" si="0"/>
        <v>158</v>
      </c>
      <c r="G28" s="222">
        <f t="shared" si="1"/>
        <v>988</v>
      </c>
      <c r="H28" s="223">
        <f t="shared" si="2"/>
        <v>988</v>
      </c>
      <c r="I28" s="295">
        <v>1200</v>
      </c>
      <c r="J28" s="198">
        <f t="shared" si="3"/>
        <v>228</v>
      </c>
      <c r="K28" s="198">
        <f t="shared" si="4"/>
        <v>1428</v>
      </c>
      <c r="L28" s="256">
        <f t="shared" si="5"/>
        <v>1428</v>
      </c>
      <c r="M28" s="273">
        <v>248</v>
      </c>
      <c r="N28" s="222">
        <f t="shared" si="6"/>
        <v>47</v>
      </c>
      <c r="O28" s="222">
        <f t="shared" si="7"/>
        <v>295</v>
      </c>
      <c r="P28" s="256">
        <f t="shared" si="8"/>
        <v>295</v>
      </c>
      <c r="Q28" s="292">
        <v>59</v>
      </c>
      <c r="R28" s="293">
        <v>150.99</v>
      </c>
      <c r="S28" s="204">
        <v>160.41999999999999</v>
      </c>
      <c r="T28" s="294">
        <f t="shared" si="9"/>
        <v>62.684813563812163</v>
      </c>
      <c r="U28" s="198">
        <f t="shared" si="10"/>
        <v>12</v>
      </c>
      <c r="V28" s="198">
        <f t="shared" si="11"/>
        <v>75</v>
      </c>
      <c r="W28" s="201">
        <f t="shared" si="12"/>
        <v>75</v>
      </c>
      <c r="X28" s="208">
        <f t="shared" si="13"/>
        <v>759.33333333333337</v>
      </c>
      <c r="Y28" s="198">
        <f t="shared" si="14"/>
        <v>144</v>
      </c>
      <c r="Z28" s="198">
        <f t="shared" si="15"/>
        <v>903</v>
      </c>
      <c r="AA28" s="198">
        <f t="shared" si="16"/>
        <v>903</v>
      </c>
      <c r="AB28" s="209">
        <f t="shared" si="17"/>
        <v>479.91804855968206</v>
      </c>
      <c r="AC28" s="210">
        <f t="shared" si="18"/>
        <v>0.63202552488105623</v>
      </c>
      <c r="AE28" s="208">
        <f>IF(AND(AC28&gt;30%,AC28&lt;=60%),GEOMEAN(E28,I28,M28),IF(AC28&lt;=30%,AVERAGE(E28,I28,M28),AT28))</f>
        <v>380.22827118793742</v>
      </c>
      <c r="AF28" s="198">
        <f t="shared" si="19"/>
        <v>72</v>
      </c>
      <c r="AG28" s="198">
        <f t="shared" si="20"/>
        <v>452</v>
      </c>
      <c r="AH28" s="211">
        <f t="shared" si="21"/>
        <v>452</v>
      </c>
      <c r="AI28" s="352">
        <v>0</v>
      </c>
      <c r="AK28" s="212">
        <f>AVERAGE(E28,I28,M28,T28)</f>
        <v>585.171203390953</v>
      </c>
      <c r="AL28" s="213">
        <f>STDEV(E28,I28,M28,T28)</f>
        <v>524.28746464112783</v>
      </c>
      <c r="AM28" s="214">
        <f t="shared" si="22"/>
        <v>0.89595568203456399</v>
      </c>
      <c r="AN28" s="213">
        <f t="shared" si="23"/>
        <v>60.88373874982517</v>
      </c>
      <c r="AO28" s="213">
        <f t="shared" si="24"/>
        <v>1109.4586680320808</v>
      </c>
      <c r="AP28" s="215" t="str">
        <f>IF(AM28&gt;60%,IF(AND(ISNUMBER(E28),E28&gt;=AN28,E28&lt;=AO28),"PERMANECE",IF(ISNUMBER(E28),"SE ACOTA","SIN DATO")),"NO APLICA")</f>
        <v>PERMANECE</v>
      </c>
      <c r="AQ28" s="215" t="str">
        <f>IF(AM28&gt;60%,IF(AND(ISNUMBER(I28),I28&gt;=AN28,I28&lt;=AO28),"PERMANECE",IF(ISNUMBER(I28),"SE ACOTA","SIN DATO")),"NO APLICA")</f>
        <v>SE ACOTA</v>
      </c>
      <c r="AR28" s="215" t="str">
        <f>IF(AM28&gt;60%,IF(AND(ISNUMBER(M28),M28&gt;=AN28,M28&lt;=AO28),"PERMANECE",IF(ISNUMBER(M28),"SE ACOTA","SIN DATO")),"NO APLICA")</f>
        <v>PERMANECE</v>
      </c>
      <c r="AS28" s="215" t="str">
        <f>IF(AM28&gt;60%,IF(AND(ISNUMBER(T28),T28&gt;=AN28,T28&lt;=AO28),"PERMANECE",IF(ISNUMBER(T28),"SE ACOTA","SIN DATO")),"NO APLICA")</f>
        <v>PERMANECE</v>
      </c>
      <c r="AT28" s="216">
        <f>IF(AM28&gt;60%,IFERROR((IF(AND(ISNUMBER(E28),E28&gt;=AN28,E28&lt;=AO28),E28,0) + IF(AND(ISNUMBER(I28),I28&gt;=AN28,I28&lt;=AO28),I28,0) + IF(AND(ISNUMBER(M28),M28&gt;=AN28,M28&lt;=AO28),M28,0) + IF(AND(ISNUMBER(T28),T28&gt;=AN28,T28&lt;=AO28),T28,0))/(--AND(ISNUMBER(E28),E28&gt;=AN28,E28&lt;=AO28) + --AND(ISNUMBER(I28),I28&gt;=AN28,I28&lt;=AO28) + --AND(ISNUMBER(M28),M28&gt;=AN28,M28&lt;=AO28) + --AND(ISNUMBER(T28),T28&gt;=AN28,T28&lt;=AO28)),""),AVERAGE(E28,I28,M28,T28))</f>
        <v>380.22827118793742</v>
      </c>
      <c r="AU28" s="217">
        <f>IF(AM28&gt;60%,IF((--AND(ISNUMBER(E28),E28&gt;=AN28,E28&lt;=AO28) + --AND(ISNUMBER(I28),I28&gt;=AN28,I28&lt;=AO28) + --AND(ISNUMBER(M28),M28&gt;=AN28,M28&lt;=AO28) + --AND(ISNUMBER(T28),T28&gt;=AN28,T28&lt;=AO28))&gt;=2,SQRT((IF(AND(ISNUMBER(E28),E28&gt;=AN28,E28&lt;=AO28),(E28-AT28)^2,0) + IF(AND(ISNUMBER(I28),I28&gt;=AN28,I28&lt;=AO28),(I28-AT28)^2,0) + IF(AND(ISNUMBER(M28),M28&gt;=AN28,M28&lt;=AO28),(M28-AT28)^2,0) + IF(AND(ISNUMBER(T28),T28&gt;=AN28,T28&lt;=AO28),(T28-AT28)^2,0))/((--AND(ISNUMBER(E28),E28&gt;=AN28,E28&lt;=AO28) + --AND(ISNUMBER(I28),I28&gt;=AN28,I28&lt;=AO28) + --AND(ISNUMBER(M28),M28&gt;=AN28,M28&lt;=AO28) + --AND(ISNUMBER(T28),T28&gt;=AN28,T28&lt;=AO28))-1))/AT28,""),AM28)</f>
        <v>1.053006389011508</v>
      </c>
    </row>
    <row r="29" spans="1:47" ht="27" customHeight="1" x14ac:dyDescent="0.2">
      <c r="A29" s="111">
        <v>11</v>
      </c>
      <c r="B29" s="112" t="s">
        <v>100</v>
      </c>
      <c r="C29" s="113" t="s">
        <v>53</v>
      </c>
      <c r="D29" s="114">
        <v>1</v>
      </c>
      <c r="E29" s="29">
        <v>1700</v>
      </c>
      <c r="F29" s="115">
        <f t="shared" si="0"/>
        <v>323</v>
      </c>
      <c r="G29" s="115">
        <f t="shared" si="1"/>
        <v>2023</v>
      </c>
      <c r="H29" s="116">
        <f t="shared" si="2"/>
        <v>2023</v>
      </c>
      <c r="I29" s="98">
        <v>1200</v>
      </c>
      <c r="J29" s="117">
        <f t="shared" si="3"/>
        <v>228</v>
      </c>
      <c r="K29" s="117">
        <f t="shared" si="4"/>
        <v>1428</v>
      </c>
      <c r="L29" s="118">
        <f t="shared" si="5"/>
        <v>1428</v>
      </c>
      <c r="M29" s="28">
        <v>1260</v>
      </c>
      <c r="N29" s="115">
        <f t="shared" si="6"/>
        <v>239</v>
      </c>
      <c r="O29" s="115">
        <f t="shared" si="7"/>
        <v>1499</v>
      </c>
      <c r="P29" s="118">
        <f t="shared" si="8"/>
        <v>1499</v>
      </c>
      <c r="Q29" s="119">
        <v>630</v>
      </c>
      <c r="R29" s="120">
        <v>150.99</v>
      </c>
      <c r="S29" s="23">
        <v>160.41999999999999</v>
      </c>
      <c r="T29" s="100">
        <f t="shared" si="9"/>
        <v>669.34631432545189</v>
      </c>
      <c r="U29" s="117">
        <f t="shared" si="10"/>
        <v>127</v>
      </c>
      <c r="V29" s="117">
        <f t="shared" si="11"/>
        <v>796</v>
      </c>
      <c r="W29" s="121">
        <f t="shared" si="12"/>
        <v>796</v>
      </c>
      <c r="X29" s="57">
        <f t="shared" si="13"/>
        <v>1386.6666666666667</v>
      </c>
      <c r="Y29" s="117">
        <f t="shared" si="14"/>
        <v>263</v>
      </c>
      <c r="Z29" s="117">
        <f t="shared" si="15"/>
        <v>1650</v>
      </c>
      <c r="AA29" s="117">
        <f t="shared" si="16"/>
        <v>1650</v>
      </c>
      <c r="AB29" s="82">
        <f t="shared" si="17"/>
        <v>273.00793639257722</v>
      </c>
      <c r="AC29" s="50">
        <f t="shared" si="18"/>
        <v>0.19688072336003165</v>
      </c>
      <c r="AE29" s="57">
        <f>AVERAGE(E29,I29,M29)</f>
        <v>1386.6666666666667</v>
      </c>
      <c r="AF29" s="117">
        <f t="shared" si="19"/>
        <v>263</v>
      </c>
      <c r="AG29" s="117">
        <f t="shared" si="20"/>
        <v>1650</v>
      </c>
      <c r="AH29" s="188">
        <f t="shared" si="21"/>
        <v>1650</v>
      </c>
      <c r="AI29" s="351">
        <f>STDEV(E29,I29,M29)</f>
        <v>273.00793639257722</v>
      </c>
      <c r="AK29" s="172"/>
      <c r="AL29" s="173"/>
      <c r="AM29" s="160"/>
      <c r="AN29" s="173"/>
      <c r="AO29" s="173"/>
      <c r="AP29" s="161"/>
      <c r="AQ29" s="161"/>
      <c r="AR29" s="161"/>
      <c r="AS29" s="161"/>
      <c r="AT29" s="175"/>
      <c r="AU29" s="162"/>
    </row>
    <row r="30" spans="1:47" s="182" customFormat="1" ht="27" customHeight="1" x14ac:dyDescent="0.2">
      <c r="A30" s="193">
        <v>12</v>
      </c>
      <c r="B30" s="221" t="s">
        <v>101</v>
      </c>
      <c r="C30" s="195" t="s">
        <v>53</v>
      </c>
      <c r="D30" s="251">
        <v>1</v>
      </c>
      <c r="E30" s="291">
        <v>3750</v>
      </c>
      <c r="F30" s="222">
        <f t="shared" si="0"/>
        <v>713</v>
      </c>
      <c r="G30" s="222">
        <f t="shared" si="1"/>
        <v>4463</v>
      </c>
      <c r="H30" s="223">
        <f t="shared" si="2"/>
        <v>4463</v>
      </c>
      <c r="I30" s="295">
        <v>14000</v>
      </c>
      <c r="J30" s="198">
        <f t="shared" si="3"/>
        <v>2660</v>
      </c>
      <c r="K30" s="198">
        <f t="shared" si="4"/>
        <v>16660</v>
      </c>
      <c r="L30" s="256">
        <f t="shared" si="5"/>
        <v>16660</v>
      </c>
      <c r="M30" s="273">
        <v>2475</v>
      </c>
      <c r="N30" s="222">
        <f t="shared" si="6"/>
        <v>470</v>
      </c>
      <c r="O30" s="222">
        <f t="shared" si="7"/>
        <v>2945</v>
      </c>
      <c r="P30" s="256">
        <f t="shared" si="8"/>
        <v>2945</v>
      </c>
      <c r="Q30" s="292">
        <v>1008</v>
      </c>
      <c r="R30" s="293">
        <v>150.99</v>
      </c>
      <c r="S30" s="204">
        <v>160.41999999999999</v>
      </c>
      <c r="T30" s="294">
        <f t="shared" si="9"/>
        <v>1070.954102920723</v>
      </c>
      <c r="U30" s="198">
        <f t="shared" si="10"/>
        <v>203</v>
      </c>
      <c r="V30" s="198">
        <f t="shared" si="11"/>
        <v>1274</v>
      </c>
      <c r="W30" s="201">
        <f t="shared" si="12"/>
        <v>1274</v>
      </c>
      <c r="X30" s="208">
        <f t="shared" si="13"/>
        <v>6741.666666666667</v>
      </c>
      <c r="Y30" s="198">
        <f t="shared" si="14"/>
        <v>1281</v>
      </c>
      <c r="Z30" s="198">
        <f t="shared" si="15"/>
        <v>8023</v>
      </c>
      <c r="AA30" s="198">
        <f t="shared" si="16"/>
        <v>8023</v>
      </c>
      <c r="AB30" s="209">
        <f t="shared" si="17"/>
        <v>6318.1451655793198</v>
      </c>
      <c r="AC30" s="210">
        <f t="shared" si="18"/>
        <v>0.93717851652598061</v>
      </c>
      <c r="AE30" s="208">
        <f>IF(AND(AC30&gt;30%,AC30&lt;=60%),GEOMEAN(E30,I30,M30),IF(AC30&lt;=30%,AVERAGE(E30,I30,M30),AT30))</f>
        <v>2431.9847009735745</v>
      </c>
      <c r="AF30" s="198">
        <f t="shared" si="19"/>
        <v>462</v>
      </c>
      <c r="AG30" s="198">
        <f t="shared" si="20"/>
        <v>2894</v>
      </c>
      <c r="AH30" s="211">
        <f t="shared" si="21"/>
        <v>2894</v>
      </c>
      <c r="AI30" s="352">
        <v>0</v>
      </c>
      <c r="AK30" s="212">
        <f>AVERAGE(E30,I30,M30,T30)</f>
        <v>5323.9885257301812</v>
      </c>
      <c r="AL30" s="213">
        <f>STDEV(E30,I30,M30,T30)</f>
        <v>5886.5850995331239</v>
      </c>
      <c r="AM30" s="214">
        <f t="shared" si="22"/>
        <v>1.1056720109526876</v>
      </c>
      <c r="AN30" s="213">
        <f t="shared" si="23"/>
        <v>-562.59657380294266</v>
      </c>
      <c r="AO30" s="213">
        <f t="shared" si="24"/>
        <v>11210.573625263305</v>
      </c>
      <c r="AP30" s="215" t="str">
        <f>IF(AM30&gt;60%,IF(AND(ISNUMBER(E30),E30&gt;=AN30,E30&lt;=AO30),"PERMANECE",IF(ISNUMBER(E30),"SE ACOTA","SIN DATO")),"NO APLICA")</f>
        <v>PERMANECE</v>
      </c>
      <c r="AQ30" s="215" t="str">
        <f>IF(AM30&gt;60%,IF(AND(ISNUMBER(I30),I30&gt;=AN30,I30&lt;=AO30),"PERMANECE",IF(ISNUMBER(I30),"SE ACOTA","SIN DATO")),"NO APLICA")</f>
        <v>SE ACOTA</v>
      </c>
      <c r="AR30" s="215" t="str">
        <f>IF(AM30&gt;60%,IF(AND(ISNUMBER(M30),M30&gt;=AN30,M30&lt;=AO30),"PERMANECE",IF(ISNUMBER(M30),"SE ACOTA","SIN DATO")),"NO APLICA")</f>
        <v>PERMANECE</v>
      </c>
      <c r="AS30" s="215" t="str">
        <f>IF(AM30&gt;60%,IF(AND(ISNUMBER(T30),T30&gt;=AN30,T30&lt;=AO30),"PERMANECE",IF(ISNUMBER(T30),"SE ACOTA","SIN DATO")),"NO APLICA")</f>
        <v>PERMANECE</v>
      </c>
      <c r="AT30" s="216">
        <f>IF(AM30&gt;60%,IFERROR((IF(AND(ISNUMBER(E30),E30&gt;=AN30,E30&lt;=AO30),E30,0) + IF(AND(ISNUMBER(I30),I30&gt;=AN30,I30&lt;=AO30),I30,0) + IF(AND(ISNUMBER(M30),M30&gt;=AN30,M30&lt;=AO30),M30,0) + IF(AND(ISNUMBER(T30),T30&gt;=AN30,T30&lt;=AO30),T30,0))/(--AND(ISNUMBER(E30),E30&gt;=AN30,E30&lt;=AO30) + --AND(ISNUMBER(I30),I30&gt;=AN30,I30&lt;=AO30) + --AND(ISNUMBER(M30),M30&gt;=AN30,M30&lt;=AO30) + --AND(ISNUMBER(T30),T30&gt;=AN30,T30&lt;=AO30)),""),AVERAGE(E30,I30,M30,T30))</f>
        <v>2431.9847009735745</v>
      </c>
      <c r="AU30" s="217">
        <f>IF(AM30&gt;60%,IF((--AND(ISNUMBER(E30),E30&gt;=AN30,E30&lt;=AO30) + --AND(ISNUMBER(I30),I30&gt;=AN30,I30&lt;=AO30) + --AND(ISNUMBER(M30),M30&gt;=AN30,M30&lt;=AO30) + --AND(ISNUMBER(T30),T30&gt;=AN30,T30&lt;=AO30))&gt;=2,SQRT((IF(AND(ISNUMBER(E30),E30&gt;=AN30,E30&lt;=AO30),(E30-AT30)^2,0) + IF(AND(ISNUMBER(I30),I30&gt;=AN30,I30&lt;=AO30),(I30-AT30)^2,0) + IF(AND(ISNUMBER(M30),M30&gt;=AN30,M30&lt;=AO30),(M30-AT30)^2,0) + IF(AND(ISNUMBER(T30),T30&gt;=AN30,T30&lt;=AO30),(T30-AT30)^2,0))/((--AND(ISNUMBER(E30),E30&gt;=AN30,E30&lt;=AO30) + --AND(ISNUMBER(I30),I30&gt;=AN30,I30&lt;=AO30) + --AND(ISNUMBER(M30),M30&gt;=AN30,M30&lt;=AO30) + --AND(ISNUMBER(T30),T30&gt;=AN30,T30&lt;=AO30))-1))/AT30,""),AM30)</f>
        <v>0.55100710320974311</v>
      </c>
    </row>
    <row r="31" spans="1:47" s="182" customFormat="1" ht="27" customHeight="1" x14ac:dyDescent="0.2">
      <c r="A31" s="193">
        <v>13</v>
      </c>
      <c r="B31" s="221" t="s">
        <v>102</v>
      </c>
      <c r="C31" s="195" t="s">
        <v>53</v>
      </c>
      <c r="D31" s="251">
        <v>1</v>
      </c>
      <c r="E31" s="291">
        <v>82750</v>
      </c>
      <c r="F31" s="222">
        <f t="shared" si="0"/>
        <v>15723</v>
      </c>
      <c r="G31" s="222">
        <f t="shared" si="1"/>
        <v>98473</v>
      </c>
      <c r="H31" s="223">
        <f t="shared" si="2"/>
        <v>98473</v>
      </c>
      <c r="I31" s="295">
        <v>350000</v>
      </c>
      <c r="J31" s="198">
        <f t="shared" si="3"/>
        <v>66500</v>
      </c>
      <c r="K31" s="198">
        <f t="shared" si="4"/>
        <v>416500</v>
      </c>
      <c r="L31" s="256">
        <f t="shared" si="5"/>
        <v>416500</v>
      </c>
      <c r="M31" s="273">
        <v>49500</v>
      </c>
      <c r="N31" s="222">
        <f t="shared" si="6"/>
        <v>9405</v>
      </c>
      <c r="O31" s="222">
        <f t="shared" si="7"/>
        <v>58905</v>
      </c>
      <c r="P31" s="256">
        <f t="shared" si="8"/>
        <v>58905</v>
      </c>
      <c r="Q31" s="292">
        <v>16807</v>
      </c>
      <c r="R31" s="293">
        <v>150.99</v>
      </c>
      <c r="S31" s="204">
        <v>160.41999999999999</v>
      </c>
      <c r="T31" s="294">
        <f t="shared" si="9"/>
        <v>17856.672229949003</v>
      </c>
      <c r="U31" s="198">
        <f t="shared" si="10"/>
        <v>3393</v>
      </c>
      <c r="V31" s="198">
        <f t="shared" si="11"/>
        <v>21250</v>
      </c>
      <c r="W31" s="201">
        <f t="shared" si="12"/>
        <v>21250</v>
      </c>
      <c r="X31" s="208">
        <f t="shared" si="13"/>
        <v>160750</v>
      </c>
      <c r="Y31" s="198">
        <f t="shared" si="14"/>
        <v>30543</v>
      </c>
      <c r="Z31" s="198">
        <f t="shared" si="15"/>
        <v>191293</v>
      </c>
      <c r="AA31" s="198">
        <f t="shared" si="16"/>
        <v>191293</v>
      </c>
      <c r="AB31" s="209">
        <f t="shared" si="17"/>
        <v>164736.34237775221</v>
      </c>
      <c r="AC31" s="210">
        <f t="shared" si="18"/>
        <v>1.0247983973732642</v>
      </c>
      <c r="AE31" s="208">
        <f>IF(AND(AC31&gt;30%,AC31&lt;=60%),GEOMEAN(E31,I31,M31),IF(AC31&lt;=30%,AVERAGE(E31,I31,M31),AT31))</f>
        <v>50035.557409983005</v>
      </c>
      <c r="AF31" s="198">
        <f t="shared" si="19"/>
        <v>9507</v>
      </c>
      <c r="AG31" s="198">
        <f t="shared" si="20"/>
        <v>59543</v>
      </c>
      <c r="AH31" s="211">
        <f t="shared" si="21"/>
        <v>59543</v>
      </c>
      <c r="AI31" s="352">
        <v>0</v>
      </c>
      <c r="AK31" s="212">
        <f>AVERAGE(E31,I31,M31,T31)</f>
        <v>125026.66805748724</v>
      </c>
      <c r="AL31" s="213">
        <f>STDEV(E31,I31,M31,T31)</f>
        <v>152304.52208311638</v>
      </c>
      <c r="AM31" s="214">
        <f t="shared" si="22"/>
        <v>1.2181762855032399</v>
      </c>
      <c r="AN31" s="213">
        <f t="shared" si="23"/>
        <v>-27277.854025629131</v>
      </c>
      <c r="AO31" s="213">
        <f t="shared" si="24"/>
        <v>277331.19014060363</v>
      </c>
      <c r="AP31" s="215" t="str">
        <f>IF(AM31&gt;60%,IF(AND(ISNUMBER(E31),E31&gt;=AN31,E31&lt;=AO31),"PERMANECE",IF(ISNUMBER(E31),"SE ACOTA","SIN DATO")),"NO APLICA")</f>
        <v>PERMANECE</v>
      </c>
      <c r="AQ31" s="215" t="str">
        <f>IF(AM31&gt;60%,IF(AND(ISNUMBER(I31),I31&gt;=AN31,I31&lt;=AO31),"PERMANECE",IF(ISNUMBER(I31),"SE ACOTA","SIN DATO")),"NO APLICA")</f>
        <v>SE ACOTA</v>
      </c>
      <c r="AR31" s="215" t="str">
        <f>IF(AM31&gt;60%,IF(AND(ISNUMBER(M31),M31&gt;=AN31,M31&lt;=AO31),"PERMANECE",IF(ISNUMBER(M31),"SE ACOTA","SIN DATO")),"NO APLICA")</f>
        <v>PERMANECE</v>
      </c>
      <c r="AS31" s="215" t="str">
        <f>IF(AM31&gt;60%,IF(AND(ISNUMBER(T31),T31&gt;=AN31,T31&lt;=AO31),"PERMANECE",IF(ISNUMBER(T31),"SE ACOTA","SIN DATO")),"NO APLICA")</f>
        <v>PERMANECE</v>
      </c>
      <c r="AT31" s="216">
        <f>IF(AM31&gt;60%,IFERROR((IF(AND(ISNUMBER(E31),E31&gt;=AN31,E31&lt;=AO31),E31,0) + IF(AND(ISNUMBER(I31),I31&gt;=AN31,I31&lt;=AO31),I31,0) + IF(AND(ISNUMBER(M31),M31&gt;=AN31,M31&lt;=AO31),M31,0) + IF(AND(ISNUMBER(T31),T31&gt;=AN31,T31&lt;=AO31),T31,0))/(--AND(ISNUMBER(E31),E31&gt;=AN31,E31&lt;=AO31) + --AND(ISNUMBER(I31),I31&gt;=AN31,I31&lt;=AO31) + --AND(ISNUMBER(M31),M31&gt;=AN31,M31&lt;=AO31) + --AND(ISNUMBER(T31),T31&gt;=AN31,T31&lt;=AO31)),""),AVERAGE(E31,I31,M31,T31))</f>
        <v>50035.557409983005</v>
      </c>
      <c r="AU31" s="217">
        <f>IF(AM31&gt;60%,IF((--AND(ISNUMBER(E31),E31&gt;=AN31,E31&lt;=AO31) + --AND(ISNUMBER(I31),I31&gt;=AN31,I31&lt;=AO31) + --AND(ISNUMBER(M31),M31&gt;=AN31,M31&lt;=AO31) + --AND(ISNUMBER(T31),T31&gt;=AN31,T31&lt;=AO31))&gt;=2,SQRT((IF(AND(ISNUMBER(E31),E31&gt;=AN31,E31&lt;=AO31),(E31-AT31)^2,0) + IF(AND(ISNUMBER(I31),I31&gt;=AN31,I31&lt;=AO31),(I31-AT31)^2,0) + IF(AND(ISNUMBER(M31),M31&gt;=AN31,M31&lt;=AO31),(M31-AT31)^2,0) + IF(AND(ISNUMBER(T31),T31&gt;=AN31,T31&lt;=AO31),(T31-AT31)^2,0))/((--AND(ISNUMBER(E31),E31&gt;=AN31,E31&lt;=AO31) + --AND(ISNUMBER(I31),I31&gt;=AN31,I31&lt;=AO31) + --AND(ISNUMBER(M31),M31&gt;=AN31,M31&lt;=AO31) + --AND(ISNUMBER(T31),T31&gt;=AN31,T31&lt;=AO31))-1))/AT31,""),AM31)</f>
        <v>0.64853836585814018</v>
      </c>
    </row>
    <row r="32" spans="1:47" ht="27" customHeight="1" x14ac:dyDescent="0.2">
      <c r="A32" s="111">
        <v>14</v>
      </c>
      <c r="B32" s="112" t="s">
        <v>103</v>
      </c>
      <c r="C32" s="113" t="s">
        <v>53</v>
      </c>
      <c r="D32" s="114">
        <v>1</v>
      </c>
      <c r="E32" s="29">
        <v>22750</v>
      </c>
      <c r="F32" s="115">
        <f t="shared" si="0"/>
        <v>4323</v>
      </c>
      <c r="G32" s="115">
        <f t="shared" si="1"/>
        <v>27073</v>
      </c>
      <c r="H32" s="116">
        <f t="shared" si="2"/>
        <v>27073</v>
      </c>
      <c r="I32" s="98">
        <v>16000</v>
      </c>
      <c r="J32" s="117">
        <f t="shared" si="3"/>
        <v>3040</v>
      </c>
      <c r="K32" s="117">
        <f t="shared" si="4"/>
        <v>19040</v>
      </c>
      <c r="L32" s="118">
        <f t="shared" si="5"/>
        <v>19040</v>
      </c>
      <c r="M32" s="28">
        <v>24750</v>
      </c>
      <c r="N32" s="115">
        <f t="shared" si="6"/>
        <v>4703</v>
      </c>
      <c r="O32" s="115">
        <f t="shared" si="7"/>
        <v>29453</v>
      </c>
      <c r="P32" s="118">
        <f t="shared" si="8"/>
        <v>29453</v>
      </c>
      <c r="Q32" s="119">
        <v>7563</v>
      </c>
      <c r="R32" s="120">
        <v>150.99</v>
      </c>
      <c r="S32" s="23">
        <v>160.41999999999999</v>
      </c>
      <c r="T32" s="100">
        <f t="shared" si="9"/>
        <v>8035.3431353069736</v>
      </c>
      <c r="U32" s="117">
        <f t="shared" si="10"/>
        <v>1527</v>
      </c>
      <c r="V32" s="117">
        <f t="shared" si="11"/>
        <v>9562</v>
      </c>
      <c r="W32" s="121">
        <f t="shared" si="12"/>
        <v>9562</v>
      </c>
      <c r="X32" s="57">
        <f t="shared" si="13"/>
        <v>21166.666666666668</v>
      </c>
      <c r="Y32" s="117">
        <f t="shared" si="14"/>
        <v>4022</v>
      </c>
      <c r="Z32" s="117">
        <f t="shared" si="15"/>
        <v>25189</v>
      </c>
      <c r="AA32" s="117">
        <f t="shared" si="16"/>
        <v>25189</v>
      </c>
      <c r="AB32" s="82">
        <f t="shared" si="17"/>
        <v>4584.8482344929771</v>
      </c>
      <c r="AC32" s="50">
        <f t="shared" si="18"/>
        <v>0.21660700320439261</v>
      </c>
      <c r="AE32" s="57">
        <f>AVERAGE(E32,I32,M32)</f>
        <v>21166.666666666668</v>
      </c>
      <c r="AF32" s="117">
        <f t="shared" si="19"/>
        <v>4022</v>
      </c>
      <c r="AG32" s="117">
        <f t="shared" si="20"/>
        <v>25189</v>
      </c>
      <c r="AH32" s="188">
        <f t="shared" si="21"/>
        <v>25189</v>
      </c>
      <c r="AI32" s="351">
        <f>STDEV(E32,I32,M32)</f>
        <v>4584.8482344929771</v>
      </c>
      <c r="AK32" s="172"/>
      <c r="AL32" s="173"/>
      <c r="AM32" s="160"/>
      <c r="AN32" s="173"/>
      <c r="AO32" s="173"/>
      <c r="AP32" s="161"/>
      <c r="AQ32" s="161"/>
      <c r="AR32" s="161"/>
      <c r="AS32" s="161"/>
      <c r="AT32" s="175"/>
      <c r="AU32" s="162"/>
    </row>
    <row r="33" spans="1:47" ht="26.25" customHeight="1" x14ac:dyDescent="0.2">
      <c r="A33" s="111">
        <v>15</v>
      </c>
      <c r="B33" s="112" t="s">
        <v>104</v>
      </c>
      <c r="C33" s="113" t="s">
        <v>53</v>
      </c>
      <c r="D33" s="114">
        <v>1</v>
      </c>
      <c r="E33" s="29">
        <v>4200</v>
      </c>
      <c r="F33" s="115">
        <f t="shared" si="0"/>
        <v>798</v>
      </c>
      <c r="G33" s="115">
        <f t="shared" si="1"/>
        <v>4998</v>
      </c>
      <c r="H33" s="116">
        <f t="shared" si="2"/>
        <v>4998</v>
      </c>
      <c r="I33" s="98">
        <v>6500</v>
      </c>
      <c r="J33" s="117">
        <f t="shared" si="3"/>
        <v>1235</v>
      </c>
      <c r="K33" s="117">
        <f t="shared" si="4"/>
        <v>7735</v>
      </c>
      <c r="L33" s="118">
        <f t="shared" si="5"/>
        <v>7735</v>
      </c>
      <c r="M33" s="28">
        <v>3135</v>
      </c>
      <c r="N33" s="115">
        <f t="shared" si="6"/>
        <v>596</v>
      </c>
      <c r="O33" s="115">
        <f t="shared" si="7"/>
        <v>3731</v>
      </c>
      <c r="P33" s="118">
        <f t="shared" si="8"/>
        <v>3731</v>
      </c>
      <c r="Q33" s="119">
        <v>1513</v>
      </c>
      <c r="R33" s="120">
        <v>150.99</v>
      </c>
      <c r="S33" s="23">
        <v>160.41999999999999</v>
      </c>
      <c r="T33" s="100">
        <f t="shared" si="9"/>
        <v>1607.493608848268</v>
      </c>
      <c r="U33" s="117">
        <f t="shared" si="10"/>
        <v>305</v>
      </c>
      <c r="V33" s="117">
        <f t="shared" si="11"/>
        <v>1912</v>
      </c>
      <c r="W33" s="121">
        <f t="shared" si="12"/>
        <v>1912</v>
      </c>
      <c r="X33" s="57">
        <f t="shared" si="13"/>
        <v>4611.666666666667</v>
      </c>
      <c r="Y33" s="117">
        <f t="shared" si="14"/>
        <v>876</v>
      </c>
      <c r="Z33" s="117">
        <f t="shared" si="15"/>
        <v>5488</v>
      </c>
      <c r="AA33" s="117">
        <f t="shared" si="16"/>
        <v>5488</v>
      </c>
      <c r="AB33" s="82">
        <f t="shared" si="17"/>
        <v>1719.8570677045614</v>
      </c>
      <c r="AC33" s="50">
        <f t="shared" si="18"/>
        <v>0.37293611876499339</v>
      </c>
      <c r="AE33" s="57">
        <f>GEOMEAN(E33,I33,M33)</f>
        <v>4406.9020462534063</v>
      </c>
      <c r="AF33" s="117">
        <f t="shared" si="19"/>
        <v>837</v>
      </c>
      <c r="AG33" s="117">
        <f t="shared" si="20"/>
        <v>5244</v>
      </c>
      <c r="AH33" s="188">
        <f t="shared" si="21"/>
        <v>5244</v>
      </c>
      <c r="AI33" s="351">
        <f>STDEV(E33,I33,M33)</f>
        <v>1719.8570677045614</v>
      </c>
      <c r="AK33" s="172"/>
      <c r="AL33" s="173"/>
      <c r="AM33" s="160"/>
      <c r="AN33" s="173"/>
      <c r="AO33" s="173"/>
      <c r="AP33" s="161"/>
      <c r="AQ33" s="161"/>
      <c r="AR33" s="161"/>
      <c r="AS33" s="161"/>
      <c r="AT33" s="175"/>
      <c r="AU33" s="162"/>
    </row>
    <row r="34" spans="1:47" ht="27.75" customHeight="1" x14ac:dyDescent="0.2">
      <c r="A34" s="111">
        <v>16</v>
      </c>
      <c r="B34" s="112" t="s">
        <v>105</v>
      </c>
      <c r="C34" s="113" t="s">
        <v>53</v>
      </c>
      <c r="D34" s="114">
        <v>1</v>
      </c>
      <c r="E34" s="29">
        <v>750000</v>
      </c>
      <c r="F34" s="115">
        <f t="shared" si="0"/>
        <v>142500</v>
      </c>
      <c r="G34" s="115">
        <f t="shared" si="1"/>
        <v>892500</v>
      </c>
      <c r="H34" s="116">
        <f t="shared" si="2"/>
        <v>892500</v>
      </c>
      <c r="I34" s="53">
        <v>280000</v>
      </c>
      <c r="J34" s="117">
        <f t="shared" si="3"/>
        <v>53200</v>
      </c>
      <c r="K34" s="117">
        <f t="shared" si="4"/>
        <v>333200</v>
      </c>
      <c r="L34" s="118">
        <f t="shared" si="5"/>
        <v>333200</v>
      </c>
      <c r="M34" s="28">
        <v>412500</v>
      </c>
      <c r="N34" s="115">
        <f t="shared" si="6"/>
        <v>78375</v>
      </c>
      <c r="O34" s="115">
        <f t="shared" si="7"/>
        <v>490875</v>
      </c>
      <c r="P34" s="118">
        <f t="shared" si="8"/>
        <v>490875</v>
      </c>
      <c r="Q34" s="119">
        <v>235294</v>
      </c>
      <c r="R34" s="120">
        <v>150.99</v>
      </c>
      <c r="S34" s="23">
        <v>160.41999999999999</v>
      </c>
      <c r="T34" s="100">
        <f t="shared" si="9"/>
        <v>249989.16140141728</v>
      </c>
      <c r="U34" s="117">
        <f t="shared" si="10"/>
        <v>47498</v>
      </c>
      <c r="V34" s="117">
        <f t="shared" si="11"/>
        <v>297487</v>
      </c>
      <c r="W34" s="121">
        <f t="shared" si="12"/>
        <v>297487</v>
      </c>
      <c r="X34" s="57">
        <f t="shared" si="13"/>
        <v>480833.33333333331</v>
      </c>
      <c r="Y34" s="117">
        <f t="shared" si="14"/>
        <v>91358</v>
      </c>
      <c r="Z34" s="117">
        <f t="shared" si="15"/>
        <v>572191</v>
      </c>
      <c r="AA34" s="117">
        <f t="shared" si="16"/>
        <v>572191</v>
      </c>
      <c r="AB34" s="82">
        <f t="shared" si="17"/>
        <v>242336.71478612834</v>
      </c>
      <c r="AC34" s="50">
        <f t="shared" si="18"/>
        <v>0.50399316766612479</v>
      </c>
      <c r="AE34" s="57">
        <f>GEOMEAN(E34,I34,M34)</f>
        <v>442467.20047989523</v>
      </c>
      <c r="AF34" s="117">
        <f t="shared" si="19"/>
        <v>84069</v>
      </c>
      <c r="AG34" s="117">
        <f t="shared" si="20"/>
        <v>526536</v>
      </c>
      <c r="AH34" s="188">
        <f t="shared" si="21"/>
        <v>526536</v>
      </c>
      <c r="AI34" s="351">
        <f>STDEV(E34,I34,M34)</f>
        <v>242336.71478612834</v>
      </c>
      <c r="AK34" s="172"/>
      <c r="AL34" s="173"/>
      <c r="AM34" s="160"/>
      <c r="AN34" s="173"/>
      <c r="AO34" s="173"/>
      <c r="AP34" s="161"/>
      <c r="AQ34" s="161"/>
      <c r="AR34" s="161"/>
      <c r="AS34" s="161"/>
      <c r="AT34" s="175"/>
      <c r="AU34" s="162"/>
    </row>
    <row r="35" spans="1:47" ht="27.75" customHeight="1" thickBot="1" x14ac:dyDescent="0.25">
      <c r="A35" s="122">
        <v>17</v>
      </c>
      <c r="B35" s="123" t="s">
        <v>106</v>
      </c>
      <c r="C35" s="124" t="s">
        <v>53</v>
      </c>
      <c r="D35" s="125">
        <v>1</v>
      </c>
      <c r="E35" s="101">
        <v>238000</v>
      </c>
      <c r="F35" s="126">
        <f t="shared" si="0"/>
        <v>45220</v>
      </c>
      <c r="G35" s="126">
        <f t="shared" si="1"/>
        <v>283220</v>
      </c>
      <c r="H35" s="127">
        <f t="shared" si="2"/>
        <v>283220</v>
      </c>
      <c r="I35" s="73">
        <v>56000</v>
      </c>
      <c r="J35" s="128">
        <f t="shared" si="3"/>
        <v>10640</v>
      </c>
      <c r="K35" s="128">
        <f t="shared" si="4"/>
        <v>66640</v>
      </c>
      <c r="L35" s="129">
        <f t="shared" si="5"/>
        <v>66640</v>
      </c>
      <c r="M35" s="73">
        <v>247500</v>
      </c>
      <c r="N35" s="128">
        <f t="shared" si="6"/>
        <v>47025</v>
      </c>
      <c r="O35" s="128">
        <f t="shared" si="7"/>
        <v>294525</v>
      </c>
      <c r="P35" s="130">
        <f t="shared" si="8"/>
        <v>294525</v>
      </c>
      <c r="Q35" s="131">
        <v>29412</v>
      </c>
      <c r="R35" s="132">
        <v>150.99</v>
      </c>
      <c r="S35" s="23">
        <v>160.41999999999999</v>
      </c>
      <c r="T35" s="102">
        <f t="shared" si="9"/>
        <v>31248.910788793957</v>
      </c>
      <c r="U35" s="128">
        <f t="shared" si="10"/>
        <v>5937</v>
      </c>
      <c r="V35" s="128">
        <f t="shared" si="11"/>
        <v>37186</v>
      </c>
      <c r="W35" s="130">
        <f t="shared" si="12"/>
        <v>37186</v>
      </c>
      <c r="X35" s="133">
        <f t="shared" si="13"/>
        <v>180500</v>
      </c>
      <c r="Y35" s="128">
        <f t="shared" si="14"/>
        <v>34295</v>
      </c>
      <c r="Z35" s="128">
        <f t="shared" si="15"/>
        <v>214795</v>
      </c>
      <c r="AA35" s="128">
        <f t="shared" si="16"/>
        <v>214795</v>
      </c>
      <c r="AB35" s="83">
        <f t="shared" si="17"/>
        <v>107924.74229758438</v>
      </c>
      <c r="AC35" s="51">
        <f t="shared" si="18"/>
        <v>0.59792100995891628</v>
      </c>
      <c r="AE35" s="356">
        <f>GEOMEAN(E35,I35,M35)</f>
        <v>148860.70190732295</v>
      </c>
      <c r="AF35" s="48">
        <f t="shared" si="19"/>
        <v>28284</v>
      </c>
      <c r="AG35" s="48">
        <f t="shared" si="20"/>
        <v>177145</v>
      </c>
      <c r="AH35" s="357">
        <f t="shared" si="21"/>
        <v>177145</v>
      </c>
      <c r="AI35" s="358">
        <f>STDEV(E35,I35,M35)</f>
        <v>107924.74229758438</v>
      </c>
      <c r="AK35" s="177"/>
      <c r="AL35" s="178"/>
      <c r="AM35" s="163"/>
      <c r="AN35" s="178"/>
      <c r="AO35" s="178"/>
      <c r="AP35" s="164"/>
      <c r="AQ35" s="164"/>
      <c r="AR35" s="164"/>
      <c r="AS35" s="164"/>
      <c r="AT35" s="167"/>
      <c r="AU35" s="165"/>
    </row>
    <row r="36" spans="1:47" ht="13.5" customHeight="1" thickBot="1" x14ac:dyDescent="0.25">
      <c r="A36" s="408" t="s">
        <v>74</v>
      </c>
      <c r="B36" s="367"/>
      <c r="C36" s="367"/>
      <c r="D36" s="368"/>
      <c r="E36" s="408">
        <f>SUM(H19:H35)</f>
        <v>1570454</v>
      </c>
      <c r="F36" s="367"/>
      <c r="G36" s="367"/>
      <c r="H36" s="368"/>
      <c r="I36" s="408">
        <f>SUM(L19:L35)</f>
        <v>1091349</v>
      </c>
      <c r="J36" s="367"/>
      <c r="K36" s="367"/>
      <c r="L36" s="368"/>
      <c r="M36" s="408">
        <f>SUM(P19:P35)</f>
        <v>1133846</v>
      </c>
      <c r="N36" s="367"/>
      <c r="O36" s="367"/>
      <c r="P36" s="368"/>
      <c r="Q36" s="408">
        <f>SUM(W19:W35)</f>
        <v>475350</v>
      </c>
      <c r="R36" s="367"/>
      <c r="S36" s="367"/>
      <c r="T36" s="367"/>
      <c r="U36" s="367"/>
      <c r="V36" s="367"/>
      <c r="W36" s="368"/>
      <c r="X36" s="413">
        <f>SUM(AA19:AA35)</f>
        <v>1265214</v>
      </c>
      <c r="Y36" s="367"/>
      <c r="Z36" s="367"/>
      <c r="AA36" s="368"/>
      <c r="AB36" s="404">
        <f>SUM(AB19:AB35)</f>
        <v>618720.01693650999</v>
      </c>
      <c r="AC36" s="365"/>
      <c r="AE36" s="413">
        <f>SUM(AH19:AH35)</f>
        <v>1010214</v>
      </c>
      <c r="AF36" s="367"/>
      <c r="AG36" s="367"/>
      <c r="AH36" s="368"/>
      <c r="AI36" s="192">
        <f>SUM(AI19:AI35)</f>
        <v>419883.01200276852</v>
      </c>
    </row>
    <row r="37" spans="1:47" ht="13.5" customHeight="1" x14ac:dyDescent="0.2">
      <c r="A37" s="409"/>
      <c r="B37" s="391"/>
      <c r="C37" s="391"/>
      <c r="D37" s="391"/>
      <c r="E37" s="391"/>
      <c r="F37" s="391"/>
      <c r="G37" s="391"/>
      <c r="H37" s="391"/>
      <c r="I37" s="391"/>
      <c r="J37" s="391"/>
      <c r="K37" s="391"/>
      <c r="L37" s="391"/>
      <c r="M37" s="391"/>
      <c r="N37" s="391"/>
      <c r="O37" s="391"/>
      <c r="P37" s="391"/>
      <c r="Q37" s="391"/>
      <c r="R37" s="391"/>
      <c r="S37" s="391"/>
      <c r="T37" s="391"/>
      <c r="U37" s="391"/>
      <c r="V37" s="391"/>
      <c r="W37" s="391"/>
      <c r="X37" s="391"/>
      <c r="Y37" s="391"/>
      <c r="Z37" s="391"/>
      <c r="AA37" s="391"/>
    </row>
    <row r="38" spans="1:47" ht="15.75" customHeight="1" x14ac:dyDescent="0.2">
      <c r="A38" s="420"/>
      <c r="B38" s="391"/>
      <c r="C38" s="391"/>
      <c r="D38" s="391"/>
      <c r="E38" s="391"/>
      <c r="F38" s="391"/>
      <c r="G38" s="391"/>
      <c r="H38" s="391"/>
      <c r="I38" s="391"/>
      <c r="J38" s="391"/>
      <c r="K38" s="391"/>
      <c r="L38" s="391"/>
      <c r="M38" s="391"/>
      <c r="N38" s="391"/>
      <c r="O38" s="391"/>
      <c r="P38" s="391"/>
      <c r="Q38" s="391"/>
      <c r="R38" s="391"/>
      <c r="S38" s="391"/>
      <c r="T38" s="391"/>
      <c r="U38" s="391"/>
      <c r="V38" s="391"/>
      <c r="W38" s="391"/>
      <c r="X38" s="391"/>
      <c r="Y38" s="391"/>
      <c r="Z38" s="391"/>
      <c r="AA38" s="391"/>
    </row>
    <row r="39" spans="1:47" ht="15" customHeight="1" x14ac:dyDescent="0.2">
      <c r="A39" s="391"/>
      <c r="B39" s="391"/>
      <c r="C39" s="391"/>
      <c r="D39" s="391"/>
      <c r="E39" s="391"/>
      <c r="F39" s="391"/>
      <c r="G39" s="391"/>
      <c r="H39" s="391"/>
      <c r="I39" s="391"/>
      <c r="J39" s="391"/>
      <c r="K39" s="391"/>
      <c r="L39" s="391"/>
      <c r="M39" s="391"/>
      <c r="N39" s="391"/>
      <c r="O39" s="391"/>
      <c r="P39" s="391"/>
      <c r="Q39" s="391"/>
      <c r="R39" s="391"/>
      <c r="S39" s="391"/>
      <c r="T39" s="391"/>
      <c r="U39" s="391"/>
      <c r="V39" s="391"/>
      <c r="W39" s="391"/>
      <c r="X39" s="391"/>
      <c r="Y39" s="391"/>
      <c r="Z39" s="391"/>
      <c r="AA39" s="391"/>
    </row>
    <row r="40" spans="1:47" ht="12" customHeight="1" x14ac:dyDescent="0.2">
      <c r="A40" s="391"/>
      <c r="B40" s="391"/>
      <c r="C40" s="391"/>
      <c r="D40" s="391"/>
      <c r="E40" s="391"/>
      <c r="F40" s="391"/>
      <c r="G40" s="391"/>
      <c r="H40" s="391"/>
      <c r="I40" s="391"/>
      <c r="J40" s="391"/>
      <c r="K40" s="391"/>
      <c r="L40" s="391"/>
      <c r="M40" s="391"/>
      <c r="N40" s="391"/>
      <c r="O40" s="391"/>
      <c r="P40" s="391"/>
      <c r="Q40" s="391"/>
      <c r="R40" s="391"/>
      <c r="S40" s="391"/>
      <c r="T40" s="391"/>
      <c r="U40" s="391"/>
      <c r="V40" s="391"/>
      <c r="W40" s="391"/>
      <c r="X40" s="391"/>
      <c r="Y40" s="391"/>
      <c r="Z40" s="391"/>
      <c r="AA40" s="391"/>
    </row>
    <row r="41" spans="1:47" ht="12.75" customHeight="1" x14ac:dyDescent="0.2">
      <c r="H41" s="24"/>
    </row>
  </sheetData>
  <mergeCells count="33">
    <mergeCell ref="A7:AA7"/>
    <mergeCell ref="M17:P17"/>
    <mergeCell ref="Q17:W17"/>
    <mergeCell ref="A17:D17"/>
    <mergeCell ref="M36:P36"/>
    <mergeCell ref="Q36:W36"/>
    <mergeCell ref="I17:L17"/>
    <mergeCell ref="A1:AD2"/>
    <mergeCell ref="I36:L36"/>
    <mergeCell ref="A15:AB15"/>
    <mergeCell ref="E17:H17"/>
    <mergeCell ref="AE36:AH36"/>
    <mergeCell ref="C6:AD6"/>
    <mergeCell ref="B4:D4"/>
    <mergeCell ref="E4:AA4"/>
    <mergeCell ref="G11:J11"/>
    <mergeCell ref="AE17:AI17"/>
    <mergeCell ref="A3:B3"/>
    <mergeCell ref="AB36:AC36"/>
    <mergeCell ref="A36:D36"/>
    <mergeCell ref="A6:B6"/>
    <mergeCell ref="G9:J9"/>
    <mergeCell ref="X36:AA36"/>
    <mergeCell ref="A38:AA40"/>
    <mergeCell ref="AK16:AU16"/>
    <mergeCell ref="G10:J10"/>
    <mergeCell ref="G13:J13"/>
    <mergeCell ref="X17:AC17"/>
    <mergeCell ref="E36:H36"/>
    <mergeCell ref="AK17:AU17"/>
    <mergeCell ref="AE15:AU15"/>
    <mergeCell ref="A37:AA37"/>
    <mergeCell ref="G12:J12"/>
  </mergeCells>
  <pageMargins left="0.7" right="0.7" top="0.75" bottom="0.75" header="0.511811023622047" footer="0.511811023622047"/>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53735"/>
  </sheetPr>
  <dimension ref="A1:AB28"/>
  <sheetViews>
    <sheetView showGridLines="0" zoomScale="90" zoomScaleNormal="90" workbookViewId="0">
      <selection activeCell="AC20" sqref="AC20"/>
    </sheetView>
  </sheetViews>
  <sheetFormatPr baseColWidth="10" defaultColWidth="10.7109375" defaultRowHeight="12.75" customHeight="1" x14ac:dyDescent="0.2"/>
  <cols>
    <col min="1" max="1" width="4.85546875" style="147" customWidth="1"/>
    <col min="2" max="2" width="30.5703125" style="147" customWidth="1"/>
    <col min="3" max="3" width="11.5703125" style="147" customWidth="1"/>
    <col min="4" max="4" width="10" style="147" customWidth="1"/>
    <col min="5" max="5" width="8.28515625" style="147" customWidth="1"/>
    <col min="6" max="6" width="6.85546875" style="147" customWidth="1"/>
    <col min="7" max="7" width="10.5703125" style="147" customWidth="1"/>
    <col min="8" max="9" width="8.140625" style="147" customWidth="1"/>
    <col min="10" max="10" width="6.28515625" style="147" customWidth="1"/>
    <col min="11" max="11" width="11.140625" style="147" customWidth="1"/>
    <col min="12" max="12" width="7" style="147" customWidth="1"/>
    <col min="13" max="13" width="8" style="147" customWidth="1"/>
    <col min="14" max="14" width="6.7109375" style="147" customWidth="1"/>
    <col min="15" max="15" width="10.7109375" style="147" customWidth="1"/>
    <col min="16" max="16" width="7.85546875" style="147" customWidth="1"/>
    <col min="17" max="17" width="8.5703125" style="147" customWidth="1"/>
    <col min="18" max="18" width="6.28515625" style="147" customWidth="1"/>
    <col min="19" max="19" width="9.42578125" style="147" customWidth="1"/>
    <col min="20" max="20" width="7.5703125" style="147" customWidth="1"/>
    <col min="21" max="21" width="9.28515625" style="144" customWidth="1"/>
    <col min="22" max="22" width="4.7109375" style="144" customWidth="1"/>
    <col min="23" max="23" width="1.7109375" style="144" customWidth="1"/>
  </cols>
  <sheetData>
    <row r="1" spans="1:28" ht="85.5" customHeight="1" thickBot="1" x14ac:dyDescent="0.25">
      <c r="A1" s="431" t="s">
        <v>1</v>
      </c>
      <c r="B1" s="367"/>
      <c r="C1" s="367"/>
      <c r="D1" s="367"/>
      <c r="E1" s="367"/>
      <c r="F1" s="367"/>
      <c r="G1" s="367"/>
      <c r="H1" s="367"/>
      <c r="I1" s="367"/>
      <c r="J1" s="367"/>
      <c r="K1" s="367"/>
      <c r="L1" s="367"/>
      <c r="M1" s="367"/>
      <c r="N1" s="367"/>
      <c r="O1" s="367"/>
      <c r="P1" s="367"/>
      <c r="Q1" s="367"/>
      <c r="R1" s="367"/>
      <c r="S1" s="367"/>
      <c r="T1" s="367"/>
      <c r="U1" s="367"/>
      <c r="V1" s="368"/>
    </row>
    <row r="2" spans="1:28" ht="5.25" customHeight="1" thickBot="1" x14ac:dyDescent="0.25">
      <c r="A2" s="109"/>
      <c r="B2" s="430"/>
      <c r="C2" s="360"/>
      <c r="D2" s="148"/>
      <c r="E2" s="430"/>
      <c r="F2" s="360"/>
      <c r="G2" s="360"/>
      <c r="H2" s="360"/>
      <c r="I2" s="360"/>
      <c r="J2" s="360"/>
      <c r="K2" s="360"/>
      <c r="L2" s="360"/>
      <c r="M2" s="148"/>
      <c r="N2" s="148"/>
      <c r="O2" s="148"/>
      <c r="P2" s="148"/>
      <c r="Q2" s="148"/>
      <c r="R2" s="148"/>
      <c r="S2" s="148"/>
      <c r="T2" s="103"/>
      <c r="U2" s="146"/>
      <c r="V2" s="146"/>
    </row>
    <row r="3" spans="1:28" ht="18" customHeight="1" thickBot="1" x14ac:dyDescent="0.25">
      <c r="A3" s="432" t="s">
        <v>2</v>
      </c>
      <c r="B3" s="368"/>
      <c r="C3" s="321">
        <v>46254</v>
      </c>
      <c r="D3" s="313"/>
      <c r="E3" s="313"/>
      <c r="F3" s="314"/>
      <c r="G3" s="314"/>
      <c r="H3" s="315"/>
      <c r="I3" s="316"/>
      <c r="J3" s="316"/>
      <c r="K3" s="316"/>
      <c r="L3" s="316"/>
      <c r="M3" s="316"/>
      <c r="N3" s="316"/>
      <c r="O3" s="316"/>
      <c r="P3" s="316"/>
      <c r="Q3" s="316"/>
      <c r="R3" s="316"/>
      <c r="S3" s="316"/>
      <c r="T3" s="317"/>
      <c r="U3" s="185"/>
      <c r="V3" s="186"/>
    </row>
    <row r="4" spans="1:28" ht="29.25" customHeight="1" thickBot="1" x14ac:dyDescent="0.25">
      <c r="A4" s="110" t="s">
        <v>3</v>
      </c>
      <c r="B4" s="390" t="s">
        <v>4</v>
      </c>
      <c r="C4" s="391"/>
      <c r="D4" s="406"/>
      <c r="E4" s="393" t="s">
        <v>5</v>
      </c>
      <c r="F4" s="394"/>
      <c r="G4" s="394"/>
      <c r="H4" s="394"/>
      <c r="I4" s="394"/>
      <c r="J4" s="394"/>
      <c r="K4" s="394"/>
      <c r="L4" s="394"/>
      <c r="M4" s="394"/>
      <c r="N4" s="394"/>
      <c r="O4" s="394"/>
      <c r="P4" s="394"/>
      <c r="Q4" s="394"/>
      <c r="R4" s="394"/>
      <c r="S4" s="394"/>
      <c r="T4" s="394"/>
      <c r="U4" s="367"/>
      <c r="V4" s="368"/>
    </row>
    <row r="5" spans="1:28" ht="5.25" customHeight="1" thickBot="1" x14ac:dyDescent="0.25">
      <c r="A5" s="93"/>
      <c r="B5" s="94"/>
      <c r="C5" s="94"/>
      <c r="D5" s="94"/>
      <c r="E5" s="94"/>
      <c r="F5" s="94"/>
      <c r="G5" s="94"/>
      <c r="H5" s="94"/>
      <c r="I5" s="94"/>
      <c r="J5" s="94"/>
      <c r="K5" s="94"/>
      <c r="L5" s="94"/>
      <c r="M5" s="94"/>
      <c r="N5" s="94"/>
      <c r="O5" s="94"/>
      <c r="P5" s="94"/>
      <c r="Q5" s="94"/>
      <c r="R5" s="94"/>
      <c r="S5" s="94"/>
      <c r="T5" s="91"/>
      <c r="U5" s="70"/>
      <c r="V5" s="70"/>
    </row>
    <row r="6" spans="1:28" ht="21.75" customHeight="1" thickBot="1" x14ac:dyDescent="0.25">
      <c r="A6" s="426" t="s">
        <v>6</v>
      </c>
      <c r="B6" s="360"/>
      <c r="C6" s="418" t="s">
        <v>76</v>
      </c>
      <c r="D6" s="367"/>
      <c r="E6" s="367"/>
      <c r="F6" s="367"/>
      <c r="G6" s="367"/>
      <c r="H6" s="367"/>
      <c r="I6" s="367"/>
      <c r="J6" s="367"/>
      <c r="K6" s="367"/>
      <c r="L6" s="367"/>
      <c r="M6" s="367"/>
      <c r="N6" s="367"/>
      <c r="O6" s="367"/>
      <c r="P6" s="367"/>
      <c r="Q6" s="367"/>
      <c r="R6" s="367"/>
      <c r="S6" s="367"/>
      <c r="T6" s="367"/>
      <c r="U6" s="367"/>
      <c r="V6" s="368"/>
    </row>
    <row r="7" spans="1:28" ht="18" customHeight="1" x14ac:dyDescent="0.2">
      <c r="A7" s="374" t="s">
        <v>8</v>
      </c>
      <c r="B7" s="360"/>
      <c r="C7" s="360"/>
      <c r="D7" s="360"/>
      <c r="E7" s="360"/>
      <c r="F7" s="360"/>
      <c r="G7" s="360"/>
      <c r="H7" s="360"/>
      <c r="I7" s="360"/>
      <c r="J7" s="360"/>
      <c r="K7" s="360"/>
      <c r="L7" s="360"/>
      <c r="M7" s="360"/>
      <c r="N7" s="360"/>
      <c r="O7" s="360"/>
      <c r="P7" s="360"/>
      <c r="Q7" s="360"/>
      <c r="R7" s="360"/>
      <c r="S7" s="360"/>
      <c r="T7" s="360"/>
      <c r="U7" s="181"/>
      <c r="V7" s="298"/>
    </row>
    <row r="8" spans="1:28" ht="15" customHeight="1" x14ac:dyDescent="0.2">
      <c r="A8" s="2"/>
      <c r="B8" s="299"/>
      <c r="C8" s="299"/>
      <c r="D8" s="299"/>
      <c r="E8" s="299"/>
      <c r="F8" s="299"/>
      <c r="G8" s="299"/>
      <c r="H8" s="299"/>
      <c r="I8" s="299"/>
      <c r="J8" s="299"/>
      <c r="K8" s="299"/>
      <c r="L8" s="299"/>
      <c r="M8" s="299"/>
      <c r="N8" s="299"/>
      <c r="O8" s="299"/>
      <c r="P8" s="299"/>
      <c r="Q8" s="299"/>
      <c r="R8" s="299"/>
      <c r="S8" s="299"/>
      <c r="T8" s="319"/>
      <c r="U8" s="300"/>
      <c r="V8" s="184"/>
    </row>
    <row r="9" spans="1:28" ht="15" customHeight="1" x14ac:dyDescent="0.35">
      <c r="A9" s="1"/>
      <c r="B9" s="301"/>
      <c r="C9" s="301"/>
      <c r="D9" s="301"/>
      <c r="E9" s="301"/>
      <c r="F9" s="301"/>
      <c r="G9" s="401" t="s">
        <v>9</v>
      </c>
      <c r="H9" s="376"/>
      <c r="I9" s="376"/>
      <c r="J9" s="377"/>
      <c r="K9" s="3" t="s">
        <v>10</v>
      </c>
      <c r="L9" s="301"/>
      <c r="M9" s="301"/>
      <c r="N9" s="301"/>
      <c r="O9" s="301"/>
      <c r="P9" s="301"/>
      <c r="Q9" s="301"/>
      <c r="R9" s="301"/>
      <c r="S9" s="301"/>
      <c r="T9" s="302"/>
      <c r="U9" s="300"/>
      <c r="V9" s="184"/>
    </row>
    <row r="10" spans="1:28" ht="15.75" customHeight="1" x14ac:dyDescent="0.35">
      <c r="A10" s="1"/>
      <c r="B10" s="302"/>
      <c r="C10" s="302"/>
      <c r="D10" s="302"/>
      <c r="E10" s="302"/>
      <c r="F10" s="302"/>
      <c r="G10" s="375" t="s">
        <v>11</v>
      </c>
      <c r="H10" s="376"/>
      <c r="I10" s="376"/>
      <c r="J10" s="377"/>
      <c r="K10" s="4">
        <v>1</v>
      </c>
      <c r="L10" s="302"/>
      <c r="M10" s="302"/>
      <c r="N10" s="302"/>
      <c r="O10" s="302"/>
      <c r="P10" s="302"/>
      <c r="Q10" s="302"/>
      <c r="R10" s="302"/>
      <c r="S10" s="302"/>
      <c r="T10" s="302"/>
      <c r="U10" s="300"/>
      <c r="V10" s="184"/>
    </row>
    <row r="11" spans="1:28" ht="15.75" customHeight="1" x14ac:dyDescent="0.35">
      <c r="A11" s="1"/>
      <c r="B11" s="302"/>
      <c r="C11" s="302"/>
      <c r="D11" s="302"/>
      <c r="E11" s="302"/>
      <c r="F11" s="302"/>
      <c r="G11" s="375" t="s">
        <v>12</v>
      </c>
      <c r="H11" s="376"/>
      <c r="I11" s="376"/>
      <c r="J11" s="377"/>
      <c r="K11" s="4">
        <v>22</v>
      </c>
      <c r="L11" s="302"/>
      <c r="M11" s="302"/>
      <c r="N11" s="302"/>
      <c r="O11" s="302"/>
      <c r="P11" s="302"/>
      <c r="Q11" s="302"/>
      <c r="R11" s="302"/>
      <c r="S11" s="302"/>
      <c r="T11" s="302"/>
      <c r="U11" s="300"/>
      <c r="V11" s="184"/>
    </row>
    <row r="12" spans="1:28" ht="15.75" customHeight="1" x14ac:dyDescent="0.35">
      <c r="A12" s="1"/>
      <c r="B12" s="302"/>
      <c r="C12" s="302"/>
      <c r="D12" s="302"/>
      <c r="E12" s="302"/>
      <c r="F12" s="302"/>
      <c r="G12" s="375" t="s">
        <v>13</v>
      </c>
      <c r="H12" s="376"/>
      <c r="I12" s="376"/>
      <c r="J12" s="377"/>
      <c r="K12" s="4">
        <v>0</v>
      </c>
      <c r="L12" s="302"/>
      <c r="M12" s="302"/>
      <c r="N12" s="302"/>
      <c r="O12" s="302"/>
      <c r="P12" s="302"/>
      <c r="Q12" s="302"/>
      <c r="R12" s="302"/>
      <c r="S12" s="302"/>
      <c r="T12" s="302"/>
      <c r="U12" s="300"/>
      <c r="V12" s="184"/>
    </row>
    <row r="13" spans="1:28" ht="15.75" customHeight="1" x14ac:dyDescent="0.35">
      <c r="A13" s="1"/>
      <c r="B13" s="302"/>
      <c r="C13" s="302"/>
      <c r="D13" s="302"/>
      <c r="E13" s="302"/>
      <c r="F13" s="302"/>
      <c r="G13" s="375" t="s">
        <v>14</v>
      </c>
      <c r="H13" s="376"/>
      <c r="I13" s="376"/>
      <c r="J13" s="377"/>
      <c r="K13" s="4">
        <v>0</v>
      </c>
      <c r="L13" s="302"/>
      <c r="M13" s="302"/>
      <c r="N13" s="302"/>
      <c r="O13" s="302"/>
      <c r="P13" s="302"/>
      <c r="Q13" s="302"/>
      <c r="R13" s="302"/>
      <c r="S13" s="302"/>
      <c r="T13" s="302"/>
      <c r="U13" s="300"/>
      <c r="V13" s="184"/>
    </row>
    <row r="14" spans="1:28" ht="15" customHeight="1" x14ac:dyDescent="0.35">
      <c r="A14" s="1"/>
      <c r="B14" s="303"/>
      <c r="C14" s="303"/>
      <c r="D14" s="303"/>
      <c r="E14" s="303"/>
      <c r="F14" s="303"/>
      <c r="G14" s="303"/>
      <c r="H14" s="303"/>
      <c r="I14" s="303"/>
      <c r="J14" s="303"/>
      <c r="K14" s="303"/>
      <c r="L14" s="303"/>
      <c r="M14" s="303"/>
      <c r="N14" s="303"/>
      <c r="O14" s="303"/>
      <c r="P14" s="303"/>
      <c r="Q14" s="303"/>
      <c r="R14" s="303"/>
      <c r="S14" s="303"/>
      <c r="T14" s="319"/>
      <c r="U14" s="300"/>
      <c r="V14" s="184"/>
    </row>
    <row r="15" spans="1:28" ht="31.5" customHeight="1" x14ac:dyDescent="0.2">
      <c r="A15" s="422" t="s">
        <v>15</v>
      </c>
      <c r="B15" s="423"/>
      <c r="C15" s="423"/>
      <c r="D15" s="423"/>
      <c r="E15" s="423"/>
      <c r="F15" s="423"/>
      <c r="G15" s="423"/>
      <c r="H15" s="423"/>
      <c r="I15" s="423"/>
      <c r="J15" s="423"/>
      <c r="K15" s="423"/>
      <c r="L15" s="423"/>
      <c r="M15" s="423"/>
      <c r="N15" s="423"/>
      <c r="O15" s="423"/>
      <c r="P15" s="423"/>
      <c r="Q15" s="423"/>
      <c r="R15" s="423"/>
      <c r="S15" s="423"/>
      <c r="T15" s="423"/>
      <c r="U15" s="406"/>
      <c r="V15" s="184"/>
      <c r="X15" s="382"/>
      <c r="Y15" s="429"/>
      <c r="Z15" s="429"/>
      <c r="AA15" s="429"/>
      <c r="AB15" s="429"/>
    </row>
    <row r="16" spans="1:28" ht="7.5" customHeight="1" thickBot="1" x14ac:dyDescent="0.25">
      <c r="A16" s="5"/>
      <c r="B16" s="90"/>
      <c r="C16" s="90"/>
      <c r="D16" s="90"/>
      <c r="E16" s="90"/>
      <c r="F16" s="90"/>
      <c r="G16" s="90"/>
      <c r="H16" s="90"/>
      <c r="I16" s="90"/>
      <c r="J16" s="90"/>
      <c r="K16" s="90"/>
      <c r="L16" s="90"/>
      <c r="M16" s="90"/>
      <c r="N16" s="90"/>
      <c r="O16" s="90"/>
      <c r="P16" s="90"/>
      <c r="Q16" s="90"/>
      <c r="R16" s="90"/>
      <c r="S16" s="90"/>
      <c r="T16" s="90"/>
      <c r="U16" s="180"/>
      <c r="V16" s="179"/>
    </row>
    <row r="17" spans="1:28" ht="117.75" customHeight="1" thickBot="1" x14ac:dyDescent="0.25">
      <c r="A17" s="416" t="s">
        <v>16</v>
      </c>
      <c r="B17" s="391"/>
      <c r="C17" s="391"/>
      <c r="D17" s="392"/>
      <c r="E17" s="386" t="s">
        <v>17</v>
      </c>
      <c r="F17" s="364"/>
      <c r="G17" s="364"/>
      <c r="H17" s="365"/>
      <c r="I17" s="381" t="s">
        <v>18</v>
      </c>
      <c r="J17" s="364"/>
      <c r="K17" s="364"/>
      <c r="L17" s="365"/>
      <c r="M17" s="381" t="s">
        <v>19</v>
      </c>
      <c r="N17" s="364"/>
      <c r="O17" s="364"/>
      <c r="P17" s="365"/>
      <c r="Q17" s="419" t="s">
        <v>21</v>
      </c>
      <c r="R17" s="391"/>
      <c r="S17" s="391"/>
      <c r="T17" s="391"/>
      <c r="U17" s="373"/>
      <c r="V17" s="396"/>
      <c r="X17" s="433" t="s">
        <v>107</v>
      </c>
      <c r="Y17" s="434"/>
      <c r="Z17" s="434"/>
      <c r="AA17" s="434"/>
      <c r="AB17" s="435"/>
    </row>
    <row r="18" spans="1:28" ht="48" customHeight="1" thickBot="1" x14ac:dyDescent="0.25">
      <c r="A18" s="6" t="s">
        <v>22</v>
      </c>
      <c r="B18" s="7" t="s">
        <v>23</v>
      </c>
      <c r="C18" s="7" t="s">
        <v>24</v>
      </c>
      <c r="D18" s="8" t="s">
        <v>114</v>
      </c>
      <c r="E18" s="97" t="s">
        <v>25</v>
      </c>
      <c r="F18" s="19" t="s">
        <v>26</v>
      </c>
      <c r="G18" s="19" t="s">
        <v>27</v>
      </c>
      <c r="H18" s="20" t="s">
        <v>28</v>
      </c>
      <c r="I18" s="52" t="s">
        <v>25</v>
      </c>
      <c r="J18" s="80" t="s">
        <v>26</v>
      </c>
      <c r="K18" s="80" t="s">
        <v>27</v>
      </c>
      <c r="L18" s="21" t="s">
        <v>28</v>
      </c>
      <c r="M18" s="52" t="s">
        <v>25</v>
      </c>
      <c r="N18" s="80" t="s">
        <v>26</v>
      </c>
      <c r="O18" s="80" t="s">
        <v>27</v>
      </c>
      <c r="P18" s="21" t="s">
        <v>28</v>
      </c>
      <c r="Q18" s="52" t="s">
        <v>33</v>
      </c>
      <c r="R18" s="80" t="s">
        <v>34</v>
      </c>
      <c r="S18" s="80" t="s">
        <v>35</v>
      </c>
      <c r="T18" s="80" t="s">
        <v>28</v>
      </c>
      <c r="U18" s="80" t="s">
        <v>36</v>
      </c>
      <c r="V18" s="43" t="s">
        <v>37</v>
      </c>
      <c r="X18" s="52" t="s">
        <v>33</v>
      </c>
      <c r="Y18" s="80" t="s">
        <v>34</v>
      </c>
      <c r="Z18" s="80" t="s">
        <v>35</v>
      </c>
      <c r="AA18" s="80" t="s">
        <v>28</v>
      </c>
      <c r="AB18" s="80" t="s">
        <v>36</v>
      </c>
    </row>
    <row r="19" spans="1:28" ht="27.75" customHeight="1" x14ac:dyDescent="0.2">
      <c r="A19" s="25">
        <v>1</v>
      </c>
      <c r="B19" s="15" t="s">
        <v>108</v>
      </c>
      <c r="C19" s="113" t="s">
        <v>53</v>
      </c>
      <c r="D19" s="114">
        <v>1</v>
      </c>
      <c r="E19" s="29">
        <v>237800</v>
      </c>
      <c r="F19" s="115">
        <f>ROUND(E19*0.19,0)</f>
        <v>45182</v>
      </c>
      <c r="G19" s="115">
        <f>ROUND(E19+F19,0)</f>
        <v>282982</v>
      </c>
      <c r="H19" s="116">
        <f>ROUND(G19*D19,0)</f>
        <v>282982</v>
      </c>
      <c r="I19" s="29">
        <v>115000</v>
      </c>
      <c r="J19" s="117">
        <f>ROUND(I19*0.19,0)</f>
        <v>21850</v>
      </c>
      <c r="K19" s="117">
        <f>ROUND(I19+J19,0)</f>
        <v>136850</v>
      </c>
      <c r="L19" s="118">
        <f>ROUND(K19*D19,0)</f>
        <v>136850</v>
      </c>
      <c r="M19" s="72">
        <v>264000</v>
      </c>
      <c r="N19" s="115">
        <f>ROUND(M19*0.19,0)</f>
        <v>50160</v>
      </c>
      <c r="O19" s="12">
        <f>ROUND(M19+N19,0)</f>
        <v>314160</v>
      </c>
      <c r="P19" s="14">
        <f>ROUND(O19*D19,0)</f>
        <v>314160</v>
      </c>
      <c r="Q19" s="72">
        <f>AVERAGE(E19,I19,M19)</f>
        <v>205600</v>
      </c>
      <c r="R19" s="12">
        <f>ROUND(Q19*0.19,0)</f>
        <v>39064</v>
      </c>
      <c r="S19" s="12">
        <f>ROUND(Q19+R19,0)</f>
        <v>244664</v>
      </c>
      <c r="T19" s="12">
        <f>ROUND(S19*D19,0)</f>
        <v>244664</v>
      </c>
      <c r="U19" s="64">
        <f>STDEV(E19,I19,M19)</f>
        <v>79547.972947146802</v>
      </c>
      <c r="V19" s="65">
        <f>IFERROR(U19/Q19,0)</f>
        <v>0.38690648320596693</v>
      </c>
      <c r="X19" s="72">
        <f>GEOMEAN(E19,I19,M19)</f>
        <v>193273.00799871219</v>
      </c>
      <c r="Y19" s="14">
        <f>ROUND(X19*0.19,0)</f>
        <v>36722</v>
      </c>
      <c r="Z19" s="12">
        <f>ROUND(X19+Y19,0)</f>
        <v>229995</v>
      </c>
      <c r="AA19" s="187">
        <f>ROUND(Z19*D19,0)</f>
        <v>229995</v>
      </c>
      <c r="AB19" s="81">
        <f>STDEV(E19,I19,M19)</f>
        <v>79547.972947146802</v>
      </c>
    </row>
    <row r="20" spans="1:28" ht="27.75" customHeight="1" x14ac:dyDescent="0.2">
      <c r="A20" s="26">
        <v>2</v>
      </c>
      <c r="B20" s="112" t="s">
        <v>109</v>
      </c>
      <c r="C20" s="113" t="s">
        <v>53</v>
      </c>
      <c r="D20" s="114">
        <v>1</v>
      </c>
      <c r="E20" s="29">
        <v>161300</v>
      </c>
      <c r="F20" s="115">
        <f>ROUND(E20*0.19,0)</f>
        <v>30647</v>
      </c>
      <c r="G20" s="115">
        <f>ROUND(E20+F20,0)</f>
        <v>191947</v>
      </c>
      <c r="H20" s="116">
        <f>ROUND(G20*D20,0)</f>
        <v>191947</v>
      </c>
      <c r="I20" s="29">
        <v>179000</v>
      </c>
      <c r="J20" s="117">
        <f>ROUND(I20*0.19,0)</f>
        <v>34010</v>
      </c>
      <c r="K20" s="117">
        <f>ROUND(I20+J20,0)</f>
        <v>213010</v>
      </c>
      <c r="L20" s="118">
        <f>ROUND(K20*D20,0)</f>
        <v>213010</v>
      </c>
      <c r="M20" s="28">
        <v>198000</v>
      </c>
      <c r="N20" s="115">
        <f>ROUND(M20*0.19,0)</f>
        <v>37620</v>
      </c>
      <c r="O20" s="115">
        <f>ROUND(M20+N20,0)</f>
        <v>235620</v>
      </c>
      <c r="P20" s="118">
        <f>ROUND(O20*D20,0)</f>
        <v>235620</v>
      </c>
      <c r="Q20" s="28">
        <f>AVERAGE(E20,I20,M20)</f>
        <v>179433.33333333334</v>
      </c>
      <c r="R20" s="115">
        <f>ROUND(Q20*0.19,0)</f>
        <v>34092</v>
      </c>
      <c r="S20" s="117">
        <f>ROUND(Q20+R20,0)</f>
        <v>213525</v>
      </c>
      <c r="T20" s="117">
        <f>ROUND(S20*D20,0)</f>
        <v>213525</v>
      </c>
      <c r="U20" s="63">
        <f>STDEV(E20,I20,M20)</f>
        <v>18353.837019362829</v>
      </c>
      <c r="V20" s="62">
        <f>IFERROR(U20/Q20,0)</f>
        <v>0.10228777829851102</v>
      </c>
      <c r="X20" s="53">
        <f>AVERAGE(E20,I20,M20)</f>
        <v>179433.33333333334</v>
      </c>
      <c r="Y20" s="121">
        <f>ROUND(X20*0.19,0)</f>
        <v>34092</v>
      </c>
      <c r="Z20" s="117">
        <f>ROUND(X20+Y20,0)</f>
        <v>213525</v>
      </c>
      <c r="AA20" s="188">
        <f>ROUND(Z20*D20,0)</f>
        <v>213525</v>
      </c>
      <c r="AB20" s="82">
        <f>STDEV(E20,I20,M20)</f>
        <v>18353.837019362829</v>
      </c>
    </row>
    <row r="21" spans="1:28" ht="21.75" customHeight="1" x14ac:dyDescent="0.2">
      <c r="A21" s="26">
        <v>3</v>
      </c>
      <c r="B21" s="112" t="s">
        <v>110</v>
      </c>
      <c r="C21" s="113" t="s">
        <v>53</v>
      </c>
      <c r="D21" s="114">
        <v>1</v>
      </c>
      <c r="E21" s="29">
        <v>155100</v>
      </c>
      <c r="F21" s="115">
        <f>ROUND(E21*0.19,0)</f>
        <v>29469</v>
      </c>
      <c r="G21" s="115">
        <f>ROUND(E21+F21,0)</f>
        <v>184569</v>
      </c>
      <c r="H21" s="116">
        <f>ROUND(G21*D21,0)</f>
        <v>184569</v>
      </c>
      <c r="I21" s="29">
        <v>150000</v>
      </c>
      <c r="J21" s="117">
        <f>ROUND(I21*0.19,0)</f>
        <v>28500</v>
      </c>
      <c r="K21" s="117">
        <f>ROUND(I21+J21,0)</f>
        <v>178500</v>
      </c>
      <c r="L21" s="118">
        <f>ROUND(K21*D21,0)</f>
        <v>178500</v>
      </c>
      <c r="M21" s="28">
        <v>158400</v>
      </c>
      <c r="N21" s="115">
        <f>ROUND(M21*0.19,0)</f>
        <v>30096</v>
      </c>
      <c r="O21" s="115">
        <f>ROUND(M21+N21,0)</f>
        <v>188496</v>
      </c>
      <c r="P21" s="118">
        <f>ROUND(O21*D21,0)</f>
        <v>188496</v>
      </c>
      <c r="Q21" s="28">
        <f>AVERAGE(E21,I21,M21)</f>
        <v>154500</v>
      </c>
      <c r="R21" s="115">
        <f>ROUND(Q21*0.19,0)</f>
        <v>29355</v>
      </c>
      <c r="S21" s="117">
        <f>ROUND(Q21+R21,0)</f>
        <v>183855</v>
      </c>
      <c r="T21" s="117">
        <f>ROUND(S21*D21,0)</f>
        <v>183855</v>
      </c>
      <c r="U21" s="63">
        <f>STDEV(E21,I21,M21)</f>
        <v>4232.0207938997655</v>
      </c>
      <c r="V21" s="62">
        <f>IFERROR(U21/Q21,0)</f>
        <v>2.7391720348865795E-2</v>
      </c>
      <c r="X21" s="53">
        <f>AVERAGE(E21,I21,M21)</f>
        <v>154500</v>
      </c>
      <c r="Y21" s="121">
        <f>ROUND(X21*0.19,0)</f>
        <v>29355</v>
      </c>
      <c r="Z21" s="117">
        <f>ROUND(X21+Y21,0)</f>
        <v>183855</v>
      </c>
      <c r="AA21" s="188">
        <f>ROUND(Z21*D21,0)</f>
        <v>183855</v>
      </c>
      <c r="AB21" s="82">
        <f>STDEV(E21,I21,M21)</f>
        <v>4232.0207938997655</v>
      </c>
    </row>
    <row r="22" spans="1:28" ht="24.75" customHeight="1" thickBot="1" x14ac:dyDescent="0.25">
      <c r="A22" s="26">
        <v>4</v>
      </c>
      <c r="B22" s="112" t="s">
        <v>111</v>
      </c>
      <c r="C22" s="113" t="s">
        <v>53</v>
      </c>
      <c r="D22" s="114">
        <v>1</v>
      </c>
      <c r="E22" s="29">
        <v>82750</v>
      </c>
      <c r="F22" s="115">
        <f>ROUND(E22*0.19,0)</f>
        <v>15723</v>
      </c>
      <c r="G22" s="115">
        <f>ROUND(E22+F22,0)</f>
        <v>98473</v>
      </c>
      <c r="H22" s="116">
        <f>ROUND(G22*D22,0)</f>
        <v>98473</v>
      </c>
      <c r="I22" s="29">
        <v>65000</v>
      </c>
      <c r="J22" s="117">
        <f>ROUND(I22*0.19,0)</f>
        <v>12350</v>
      </c>
      <c r="K22" s="117">
        <f>ROUND(I22+J22,0)</f>
        <v>77350</v>
      </c>
      <c r="L22" s="118">
        <f>ROUND(K22*D22,0)</f>
        <v>77350</v>
      </c>
      <c r="M22" s="28">
        <v>66000</v>
      </c>
      <c r="N22" s="115">
        <f>ROUND(M22*0.19,0)</f>
        <v>12540</v>
      </c>
      <c r="O22" s="115">
        <f>ROUND(M22+N22,0)</f>
        <v>78540</v>
      </c>
      <c r="P22" s="118">
        <f>ROUND(O22*D22,0)</f>
        <v>78540</v>
      </c>
      <c r="Q22" s="18">
        <f>AVERAGE(E22,I22,M22)</f>
        <v>71250</v>
      </c>
      <c r="R22" s="17">
        <f>ROUND(Q22*0.19,0)</f>
        <v>13538</v>
      </c>
      <c r="S22" s="48">
        <f>ROUND(Q22+R22,0)</f>
        <v>84788</v>
      </c>
      <c r="T22" s="48">
        <f>ROUND(S22*D22,0)</f>
        <v>84788</v>
      </c>
      <c r="U22" s="66">
        <f>STDEV(E22,I22,M22)</f>
        <v>9971.8353375895658</v>
      </c>
      <c r="V22" s="67">
        <f>IFERROR(U22/Q22,0)</f>
        <v>0.13995558368546759</v>
      </c>
      <c r="X22" s="54">
        <f>AVERAGE(E22,I22,M22)</f>
        <v>71250</v>
      </c>
      <c r="Y22" s="48">
        <f>ROUND(X22*0.19,0)</f>
        <v>13538</v>
      </c>
      <c r="Z22" s="17">
        <f>ROUND(X22+Y22,0)</f>
        <v>84788</v>
      </c>
      <c r="AA22" s="357">
        <f>ROUND(Z22*D22,0)</f>
        <v>84788</v>
      </c>
      <c r="AB22" s="105">
        <f>STDEV(E22,I22,M22)</f>
        <v>9971.8353375895658</v>
      </c>
    </row>
    <row r="23" spans="1:28" ht="13.5" customHeight="1" thickBot="1" x14ac:dyDescent="0.25">
      <c r="A23" s="408" t="s">
        <v>74</v>
      </c>
      <c r="B23" s="367"/>
      <c r="C23" s="367"/>
      <c r="D23" s="368"/>
      <c r="E23" s="408">
        <f>SUM(H19:H22)</f>
        <v>757971</v>
      </c>
      <c r="F23" s="367"/>
      <c r="G23" s="367"/>
      <c r="H23" s="368"/>
      <c r="I23" s="408">
        <f>SUM(L19:L22)</f>
        <v>605710</v>
      </c>
      <c r="J23" s="367"/>
      <c r="K23" s="367"/>
      <c r="L23" s="368"/>
      <c r="M23" s="408">
        <f>SUM(P19:P22)</f>
        <v>816816</v>
      </c>
      <c r="N23" s="367"/>
      <c r="O23" s="367"/>
      <c r="P23" s="368"/>
      <c r="Q23" s="413">
        <f>SUM(T19:T22)</f>
        <v>726832</v>
      </c>
      <c r="R23" s="367"/>
      <c r="S23" s="367"/>
      <c r="T23" s="368"/>
      <c r="U23" s="428">
        <f>SUM(U19:U22)</f>
        <v>112105.66609799897</v>
      </c>
      <c r="V23" s="365"/>
      <c r="X23" s="404">
        <f>SUM(AA19:AA22)</f>
        <v>712163</v>
      </c>
      <c r="Y23" s="364"/>
      <c r="Z23" s="364"/>
      <c r="AA23" s="365"/>
      <c r="AB23" s="349">
        <f>SUM(AB19:AB22)</f>
        <v>112105.66609799897</v>
      </c>
    </row>
    <row r="24" spans="1:28" ht="13.5" customHeight="1" x14ac:dyDescent="0.2">
      <c r="A24" s="106"/>
      <c r="B24" s="107"/>
      <c r="C24" s="107"/>
      <c r="D24" s="107"/>
      <c r="E24" s="107"/>
      <c r="F24" s="108"/>
      <c r="G24" s="108"/>
      <c r="H24" s="108"/>
      <c r="I24" s="107"/>
      <c r="J24" s="108"/>
      <c r="K24" s="108"/>
      <c r="L24" s="108"/>
      <c r="M24" s="107"/>
      <c r="N24" s="108"/>
      <c r="O24" s="108"/>
      <c r="P24" s="108"/>
      <c r="Q24" s="108"/>
      <c r="R24" s="108"/>
      <c r="S24" s="107"/>
      <c r="T24" s="108"/>
      <c r="U24" s="30"/>
      <c r="V24" s="31"/>
    </row>
    <row r="25" spans="1:28" ht="13.5" customHeight="1" x14ac:dyDescent="0.2">
      <c r="A25" s="409"/>
      <c r="B25" s="391"/>
      <c r="C25" s="391"/>
      <c r="D25" s="391"/>
      <c r="E25" s="391"/>
      <c r="F25" s="391"/>
      <c r="G25" s="391"/>
      <c r="H25" s="391"/>
      <c r="I25" s="391"/>
      <c r="J25" s="391"/>
      <c r="K25" s="391"/>
      <c r="L25" s="391"/>
      <c r="M25" s="391"/>
      <c r="N25" s="391"/>
      <c r="O25" s="391"/>
      <c r="P25" s="391"/>
      <c r="Q25" s="391"/>
      <c r="R25" s="391"/>
      <c r="S25" s="391"/>
      <c r="T25" s="391"/>
      <c r="U25" s="44"/>
      <c r="V25" s="44"/>
    </row>
    <row r="26" spans="1:28" ht="15.75" customHeight="1" x14ac:dyDescent="0.2">
      <c r="A26" s="407"/>
      <c r="B26" s="391"/>
      <c r="C26" s="391"/>
      <c r="D26" s="391"/>
      <c r="E26" s="391"/>
      <c r="F26" s="391"/>
      <c r="G26" s="391"/>
      <c r="H26" s="391"/>
      <c r="I26" s="391"/>
      <c r="J26" s="391"/>
      <c r="K26" s="391"/>
      <c r="L26" s="391"/>
      <c r="M26" s="391"/>
      <c r="N26" s="391"/>
      <c r="O26" s="391"/>
      <c r="P26" s="391"/>
      <c r="Q26" s="391"/>
      <c r="R26" s="391"/>
      <c r="S26" s="391"/>
      <c r="T26" s="391"/>
      <c r="U26" s="45"/>
      <c r="V26" s="45"/>
    </row>
    <row r="27" spans="1:28" ht="11.25" customHeight="1" x14ac:dyDescent="0.2">
      <c r="A27" s="391"/>
      <c r="B27" s="391"/>
      <c r="C27" s="391"/>
      <c r="D27" s="391"/>
      <c r="E27" s="391"/>
      <c r="F27" s="391"/>
      <c r="G27" s="391"/>
      <c r="H27" s="391"/>
      <c r="I27" s="391"/>
      <c r="J27" s="391"/>
      <c r="K27" s="391"/>
      <c r="L27" s="391"/>
      <c r="M27" s="391"/>
      <c r="N27" s="391"/>
      <c r="O27" s="391"/>
      <c r="P27" s="391"/>
      <c r="Q27" s="391"/>
      <c r="R27" s="391"/>
      <c r="S27" s="391"/>
      <c r="T27" s="391"/>
      <c r="U27" s="45"/>
      <c r="V27" s="45"/>
    </row>
    <row r="28" spans="1:28" ht="9" customHeight="1" x14ac:dyDescent="0.2">
      <c r="A28" s="391"/>
      <c r="B28" s="391"/>
      <c r="C28" s="391"/>
      <c r="D28" s="391"/>
      <c r="E28" s="391"/>
      <c r="F28" s="391"/>
      <c r="G28" s="391"/>
      <c r="H28" s="391"/>
      <c r="I28" s="391"/>
      <c r="J28" s="391"/>
      <c r="K28" s="391"/>
      <c r="L28" s="391"/>
      <c r="M28" s="391"/>
      <c r="N28" s="391"/>
      <c r="O28" s="391"/>
      <c r="P28" s="391"/>
      <c r="Q28" s="391"/>
      <c r="R28" s="391"/>
      <c r="S28" s="391"/>
      <c r="T28" s="391"/>
      <c r="U28" s="45"/>
      <c r="V28" s="45"/>
    </row>
  </sheetData>
  <mergeCells count="31">
    <mergeCell ref="A1:V1"/>
    <mergeCell ref="G9:J9"/>
    <mergeCell ref="G12:J12"/>
    <mergeCell ref="A7:T7"/>
    <mergeCell ref="E2:L2"/>
    <mergeCell ref="A3:B3"/>
    <mergeCell ref="B4:D4"/>
    <mergeCell ref="E4:V4"/>
    <mergeCell ref="G10:J10"/>
    <mergeCell ref="E17:H17"/>
    <mergeCell ref="Q23:T23"/>
    <mergeCell ref="B2:C2"/>
    <mergeCell ref="A6:B6"/>
    <mergeCell ref="M23:P23"/>
    <mergeCell ref="Q17:V17"/>
    <mergeCell ref="E23:H23"/>
    <mergeCell ref="A26:T28"/>
    <mergeCell ref="U23:V23"/>
    <mergeCell ref="C6:V6"/>
    <mergeCell ref="I23:L23"/>
    <mergeCell ref="A25:T25"/>
    <mergeCell ref="G11:J11"/>
    <mergeCell ref="A15:U15"/>
    <mergeCell ref="A23:D23"/>
    <mergeCell ref="A17:D17"/>
    <mergeCell ref="I17:L17"/>
    <mergeCell ref="M17:P17"/>
    <mergeCell ref="X17:AB17"/>
    <mergeCell ref="G13:J13"/>
    <mergeCell ref="X23:AA23"/>
    <mergeCell ref="X15:AB15"/>
  </mergeCells>
  <pageMargins left="0.7" right="0.7" top="0.75" bottom="0.75" header="0.511811023622047" footer="0.511811023622047"/>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Impresiones</vt:lpstr>
      <vt:lpstr>Panelería y Mobiliario</vt:lpstr>
      <vt:lpstr>Montaje</vt:lpstr>
      <vt:lpstr>Equipos Audio</vt:lpstr>
      <vt:lpstr>'Panelería y Mobiliario'!Área_de_impresión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prestamo</dc:creator>
  <cp:lastModifiedBy>prestamo</cp:lastModifiedBy>
  <dcterms:created xsi:type="dcterms:W3CDTF">2026-08-26T20:18:54Z</dcterms:created>
  <dcterms:modified xsi:type="dcterms:W3CDTF">2026-09-23T15:16:05Z</dcterms:modified>
</cp:coreProperties>
</file>