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fiscaliagovco-my.sharepoint.com/personal/sebastian_calderon_fiscalia_gov_co1/Documents/Documents/1. Documentos/2026/FGN/7. COORDINACION/3. JULIO-AGOSTO 2026/2. MINIMA/32. MONITOREO/"/>
    </mc:Choice>
  </mc:AlternateContent>
  <xr:revisionPtr revIDLastSave="2" documentId="8_{F503AEDD-B539-4CD1-90B1-595F4A2B75E4}" xr6:coauthVersionLast="47" xr6:coauthVersionMax="47" xr10:uidLastSave="{FD4C7953-3ADE-4796-A87C-F9530A965D74}"/>
  <bookViews>
    <workbookView xWindow="-120" yWindow="-120" windowWidth="29040" windowHeight="15720" firstSheet="2" activeTab="4" xr2:uid="{00000000-000D-0000-FFFF-FFFF00000000}"/>
  </bookViews>
  <sheets>
    <sheet name="PORTADA" sheetId="1" r:id="rId1"/>
    <sheet name="ANEXO 1 - COTIZACIONES" sheetId="2" r:id="rId2"/>
    <sheet name="ANEXO 2 - HISTÓRICO" sheetId="3" r:id="rId3"/>
    <sheet name="ANEXO 3 - CONSOLIDADO" sheetId="4" r:id="rId4"/>
    <sheet name="ANEXO 4 - PRESUPUESTO OFICIAL" sheetId="5" r:id="rId5"/>
    <sheet name="ÍNDICES IPC"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6" l="1"/>
  <c r="C21" i="6"/>
  <c r="E20" i="4"/>
  <c r="M26" i="4" s="1"/>
  <c r="D9" i="5" s="1"/>
  <c r="E19" i="4"/>
  <c r="M25" i="4" s="1"/>
  <c r="D8" i="5" s="1"/>
  <c r="E18" i="4"/>
  <c r="M24" i="4" s="1"/>
  <c r="H11" i="4"/>
  <c r="G11" i="4"/>
  <c r="H10" i="4"/>
  <c r="G10" i="4"/>
  <c r="H9" i="4"/>
  <c r="G9" i="4"/>
  <c r="D4" i="4"/>
  <c r="D20" i="3"/>
  <c r="D27" i="3" s="1"/>
  <c r="D19" i="3"/>
  <c r="D26" i="3" s="1"/>
  <c r="D18" i="3"/>
  <c r="D17" i="3"/>
  <c r="D21" i="3" s="1"/>
  <c r="D25" i="3" s="1"/>
  <c r="D16" i="3"/>
  <c r="D15" i="3"/>
  <c r="H10" i="3"/>
  <c r="G10" i="3"/>
  <c r="E10" i="3"/>
  <c r="F10" i="3" s="1"/>
  <c r="H9" i="3"/>
  <c r="G9" i="3"/>
  <c r="E9" i="3"/>
  <c r="F9" i="3" s="1"/>
  <c r="E8" i="3"/>
  <c r="F8" i="3" s="1"/>
  <c r="D14" i="3" s="1"/>
  <c r="H18" i="2"/>
  <c r="G18" i="2"/>
  <c r="F18" i="2"/>
  <c r="H17" i="2"/>
  <c r="G17" i="2"/>
  <c r="F17" i="2"/>
  <c r="H16" i="2"/>
  <c r="G16" i="2"/>
  <c r="F16" i="2"/>
  <c r="H15" i="2"/>
  <c r="G15" i="2"/>
  <c r="F15" i="2"/>
  <c r="H14" i="2"/>
  <c r="G14" i="2"/>
  <c r="F14" i="2"/>
  <c r="H13" i="2"/>
  <c r="G13" i="2"/>
  <c r="F13" i="2"/>
  <c r="M27" i="4" l="1"/>
  <c r="D7" i="5"/>
  <c r="F25" i="3"/>
  <c r="D10" i="5" l="1"/>
  <c r="F11" i="3"/>
  <c r="F26" i="3"/>
  <c r="F9" i="4"/>
  <c r="F27" i="3" l="1"/>
  <c r="F11" i="4" s="1"/>
  <c r="F10" i="4"/>
  <c r="I9" i="4"/>
  <c r="K9" i="4"/>
  <c r="J9" i="4"/>
  <c r="I11" i="4" l="1"/>
  <c r="J11" i="4"/>
  <c r="K11" i="4"/>
  <c r="I10" i="4"/>
  <c r="J10" i="4"/>
  <c r="K10" i="4"/>
  <c r="L9" i="4"/>
  <c r="M9" i="4"/>
  <c r="L11" i="4" l="1"/>
  <c r="M11" i="4"/>
  <c r="L10" i="4"/>
  <c r="M10" i="4"/>
  <c r="F18" i="4"/>
  <c r="G18" i="4"/>
  <c r="G24" i="4" s="1"/>
  <c r="H18" i="4"/>
  <c r="N9" i="4"/>
  <c r="F20" i="4" l="1"/>
  <c r="G20" i="4"/>
  <c r="G26" i="4" s="1"/>
  <c r="H20" i="4"/>
  <c r="N11" i="4"/>
  <c r="F19" i="4"/>
  <c r="G19" i="4"/>
  <c r="G25" i="4" s="1"/>
  <c r="H19" i="4"/>
  <c r="N10" i="4"/>
  <c r="N18" i="4"/>
  <c r="K18" i="4"/>
  <c r="J18" i="4"/>
  <c r="I18" i="4"/>
  <c r="E24" i="4"/>
  <c r="E26" i="4" l="1"/>
  <c r="J20" i="4"/>
  <c r="I20" i="4"/>
  <c r="N20" i="4"/>
  <c r="K20" i="4"/>
  <c r="N19" i="4"/>
  <c r="K19" i="4"/>
  <c r="I19" i="4"/>
  <c r="E25" i="4"/>
  <c r="J19" i="4"/>
  <c r="L18" i="4"/>
  <c r="M18" i="4"/>
  <c r="O18" i="4" s="1"/>
  <c r="P18" i="4"/>
  <c r="I24" i="4" s="1"/>
  <c r="P20" i="4" l="1"/>
  <c r="I26" i="4" s="1"/>
  <c r="L20" i="4"/>
  <c r="M20" i="4"/>
  <c r="O20" i="4" s="1"/>
  <c r="L19" i="4"/>
  <c r="M19" i="4"/>
  <c r="O19" i="4" s="1"/>
  <c r="P19" i="4"/>
  <c r="I25" i="4" s="1"/>
  <c r="N24" i="4"/>
  <c r="C43" i="1"/>
  <c r="E7" i="5"/>
  <c r="G7" i="5" s="1"/>
  <c r="K26" i="4" l="1"/>
  <c r="N26" i="4"/>
  <c r="E9" i="5"/>
  <c r="G9" i="5" s="1"/>
  <c r="C45" i="1"/>
  <c r="K25" i="4"/>
  <c r="N25" i="4"/>
  <c r="E8" i="5"/>
  <c r="G8" i="5" s="1"/>
  <c r="C44" i="1"/>
  <c r="G14" i="5"/>
  <c r="G10" i="5" l="1"/>
  <c r="G15" i="5"/>
  <c r="G16" i="5" s="1"/>
  <c r="N27" i="4"/>
  <c r="H7" i="5" l="1"/>
  <c r="H8" i="5"/>
  <c r="H10" i="5"/>
  <c r="I18" i="5"/>
  <c r="C46" i="1"/>
  <c r="C48" i="1"/>
  <c r="H9" i="5"/>
</calcChain>
</file>

<file path=xl/sharedStrings.xml><?xml version="1.0" encoding="utf-8"?>
<sst xmlns="http://schemas.openxmlformats.org/spreadsheetml/2006/main" count="381" uniqueCount="310">
  <si>
    <t>ESTUDIO DEL SECTOR – ANÁLISIS ECONÓMICO Y DETERMINACIÓN DEL PRESUPUESTO OFICIAL – VERSIÓN 2</t>
  </si>
  <si>
    <t>Entidad</t>
  </si>
  <si>
    <t>Fiscalía General de la Nación – Nivel Central</t>
  </si>
  <si>
    <t>Dependencia solicitante</t>
  </si>
  <si>
    <t>Dirección de Comunicaciones</t>
  </si>
  <si>
    <t>Objeto</t>
  </si>
  <si>
    <t>PRESTAR EL SERVICIO DE MONITOREO DIARIO, CLASIFICACIÓN, MEDICIÓN Y ANÁLISIS DE LA INFORMACIÓN GENERADA, REGISTRADA, EMITIDA Y PUBLICADA DE LA FISCALÍA GENERAL DE LA NACIÓN, EN PRENSA, RADIO, TELEVISIÓN, PORTALES DE INTERNET Y REDES SOCIALES A NIVEL NACIONAL.</t>
  </si>
  <si>
    <t>Número del estudio del sector</t>
  </si>
  <si>
    <t>485</t>
  </si>
  <si>
    <t>Modalidad de selección aplicable</t>
  </si>
  <si>
    <t>Mínima cuantía (numeral 5 del artículo 2 de la Ley 1150 de 2007)</t>
  </si>
  <si>
    <t>Tipo de contrato</t>
  </si>
  <si>
    <t>Prestación de servicios</t>
  </si>
  <si>
    <t>Plazo de ejecución</t>
  </si>
  <si>
    <t>Del 1 de diciembre de 2026 al 30 de junio de 2028 – 19 mensualidades (1 en 2026, 12 en 2027 y 6 en 2028)</t>
  </si>
  <si>
    <t>Unidad de medida</t>
  </si>
  <si>
    <t>Mensualidad de servicio, IVA incluido</t>
  </si>
  <si>
    <t>Presupuesto registrado en el PAA</t>
  </si>
  <si>
    <t>$128.658.542</t>
  </si>
  <si>
    <t>Valor estimado por el área requirente</t>
  </si>
  <si>
    <t>$126.938.143</t>
  </si>
  <si>
    <t>Proceso de solicitud de información</t>
  </si>
  <si>
    <t>SIP FGN-NC-SIP-486-2026 – SECOP II (Id CO1.REQ.10846155)</t>
  </si>
  <si>
    <t>Antecedente contractual</t>
  </si>
  <si>
    <t>FGN-NC-MC-0088-2024 / Contrato FGN-NC-334-2024 (oferta económica del 10/12/2024)</t>
  </si>
  <si>
    <t>Versión del análisis</t>
  </si>
  <si>
    <t>VERSIÓN 2 – PRECIO DE REFERENCIA ESTIMADO PARA CADA VIGENCIA (2026, 2027 y 2028), SIN CLÁUSULA DE REAJUSTE</t>
  </si>
  <si>
    <t>Fecha de elaboración</t>
  </si>
  <si>
    <t>2 de septiembre de 2026</t>
  </si>
  <si>
    <t>CONTENIDO DEL LIBRO</t>
  </si>
  <si>
    <t>ANEXO 1 - COTIZACIONES</t>
  </si>
  <si>
    <t>Insumos de precio recibidos con el valor asignado por cada proveedor a cada vigencia, estadística descriptiva, identificación de los cotizantes y resultado del evento público de solicitud de información a proveedores.</t>
  </si>
  <si>
    <t>ANEXO 2 - HISTÓRICO</t>
  </si>
  <si>
    <t>Contrato FGN-NC-334-2024: valores pactados por vigencia, deterioro real del precio e indexación del valor histórico al nivel de precios de cada una de las tres vigencias del plazo.</t>
  </si>
  <si>
    <t>ANEXO 3 - CONSOLIDADO</t>
  </si>
  <si>
    <t>Consolidación por vigencia, depuración estadística en dos rondas y determinación del precio de referencia de las vigencias 2026, 2027 y 2028.</t>
  </si>
  <si>
    <t>ANEXO 4 - PRESUPUESTO OFICIAL</t>
  </si>
  <si>
    <t>Distribución del presupuesto por vigencias, imputación presupuestal, contraste con el PAA y con la VERSIÓN 1, y análisis de sensibilidad.</t>
  </si>
  <si>
    <t>ÍNDICES IPC</t>
  </si>
  <si>
    <t>Serie de empalme del DANE utilizada en la indexación y proyecciones de inflación empleadas para 2026, 2027 y 2028.</t>
  </si>
  <si>
    <t>DIFERENCIA CON LA VERSIÓN 1</t>
  </si>
  <si>
    <t>Versión 1</t>
  </si>
  <si>
    <t>Determina UN SOLO precio de referencia, expresado al nivel de precios de la vigencia 2027, que rige sin ajuste durante diciembre de 2026 y toda la vigencia 2027. Para 2028 el contrato reconoce un reajuste equivalente al IPC acumulado de 2027 certificado por el DANE.</t>
  </si>
  <si>
    <t>Versión 2 (este libro)</t>
  </si>
  <si>
    <t>Determina TRES precios de referencia, uno por cada vigencia, obtenidos de la depuración estadística practicada sobre las observaciones expresadas al nivel de precios de la respectiva vigencia. En consecuencia, NO se establece cláusula de reajuste: el proponente oferta un valor mensual por cada vigencia y la escalación queda incorporada desde el inicio en el presupuesto oficial.</t>
  </si>
  <si>
    <t>Efecto práctico</t>
  </si>
  <si>
    <t>La Versión 1 traslada a la Entidad el riesgo de la inflación de 2027 (que se reconoce al contratista con la cifra certificada) y elimina la controversia sobre el nivel de precios inicial. La Versión 2 traslada ese riesgo al contratista y elimina la controversia sobre el reajuste, a costa de una eventual prima de riesgo en la oferta.</t>
  </si>
  <si>
    <t>METODOLOGÍA APLICADA PARA LA DETERMINACIÓN DEL PRECIO</t>
  </si>
  <si>
    <t>Universo de datos</t>
  </si>
  <si>
    <t>Dos (2) cotizaciones —una recibida en el evento público SIP FGN-NC-SIP-486-2026 y una remitida por correo electrónico— más el valor histórico del contrato FGN-NC-334-2024 indexado por IPC, incorporado como un dato más del mercado.</t>
  </si>
  <si>
    <t>Unidad de comparación</t>
  </si>
  <si>
    <t>Valor de una (1) mensualidad de servicio CON IVA incluido, que es la unidad de medida del objeto y el valor que se compara en la modalidad de mínima cuantía.</t>
  </si>
  <si>
    <t>Nivel de precios</t>
  </si>
  <si>
    <t>Las observaciones se homologan al nivel de precios de cada una de las tres vigencias del plazo de ejecución: diciembre de 2026, vigencia 2027 y vigencia 2028.</t>
  </si>
  <si>
    <t>Indexación del histórico</t>
  </si>
  <si>
    <t>Serie de empalme del IPC del DANE. El valor de 2024 se lleva a diciembre de 2026 con el factor (1 + IPC 2025) × (1 + IPC 2026) y de allí se escala a 2027 y 2028 con las proyecciones de inflación de cada uno de esos años (indexación prospectiva).</t>
  </si>
  <si>
    <t>Primera ronda – depuración</t>
  </si>
  <si>
    <t>Se calculan el promedio y la desviación estándar muestral del conjunto completo de cada vigencia. Se define el LÍMITE SUPERIOR como promedio + una (1) desviación estándar; los datos que lo superan se excluyen por atípicos por exceso.</t>
  </si>
  <si>
    <t>Segunda ronda – estadística depurada</t>
  </si>
  <si>
    <t>Con los datos retenidos se recalculan el promedio y la desviación estándar y se define el MÍNIMO ACEPTADO como promedio − una (1) desviación estándar, para descartar valores atípicos por defecto.</t>
  </si>
  <si>
    <t>Determinación del precio</t>
  </si>
  <si>
    <t>Se adopta el PROMEDIO aritmético simple del conjunto depurado de cada vigencia, por las razones expuestas en las notas del ANEXO 3.</t>
  </si>
  <si>
    <t>Régimen de ajuste</t>
  </si>
  <si>
    <t>No se establece cláusula de reajuste. Los tres valores mensuales ofertados permanecen fijos durante todo el plazo de ejecución.</t>
  </si>
  <si>
    <t>Tratamiento del IVA</t>
  </si>
  <si>
    <t>Todos los valores se manejan con IVA incluido a la tarifa general del 19 %.</t>
  </si>
  <si>
    <t>RESULTADO</t>
  </si>
  <si>
    <t>PRECIO DE REFERENCIA – Vigencia 2026 (diciembre) (mensualidad, IVA incluido)</t>
  </si>
  <si>
    <t>PRECIO DE REFERENCIA – Vigencia 2027 (enero a diciembre) (mensualidad, IVA incluido)</t>
  </si>
  <si>
    <t>PRECIO DE REFERENCIA – Vigencia 2028 (enero a junio) (mensualidad, IVA incluido)</t>
  </si>
  <si>
    <t>VALOR DEL ESTUDIO DEL SECTOR – PRESUPUESTO OFICIAL (IVA incluido)</t>
  </si>
  <si>
    <t>Diferencia frente al PAA</t>
  </si>
  <si>
    <t>ANEXO 1 – COTIZACIONES E INSUMOS DE PRECIO RECIBIDOS</t>
  </si>
  <si>
    <t>OBJETO</t>
  </si>
  <si>
    <t>VALOR MENSUAL CON IVA POR VIGENCIA</t>
  </si>
  <si>
    <t>N°</t>
  </si>
  <si>
    <t>ORIGEN DEL INSUMO</t>
  </si>
  <si>
    <t>PROVEEDOR / FUENTE</t>
  </si>
  <si>
    <t>FECHA</t>
  </si>
  <si>
    <t>VIGENCIA 2026
(diciembre)</t>
  </si>
  <si>
    <t>VIGENCIA 2027
(enero a diciembre)</t>
  </si>
  <si>
    <t>VIGENCIA 2028
(enero a junio)</t>
  </si>
  <si>
    <t>TRATAMIENTO EN EL PRESENTE ESTUDIO</t>
  </si>
  <si>
    <t>Oferta presentada en el evento público SIP FGN-NC-SIP-486-2026 – SECOP II (oferta CO1.RANL.9538616)</t>
  </si>
  <si>
    <t>IMAGROUP COLOMBIA S.A.S. – NIT 900.075.108-3 – Medellín</t>
  </si>
  <si>
    <t>14/08/2026</t>
  </si>
  <si>
    <t>EXCLUIDA del cálculo del precio: dato atípico por exceso, conforme a la depuración del ANEXO 3. Se relaciona por transparencia.</t>
  </si>
  <si>
    <t>Cotización remitida por correo electrónico en respuesta a la solicitud de la Entidad del 04/06/2026</t>
  </si>
  <si>
    <t>MEDIA TECHNOLOGY WORLD S.A.S. (IP Noticias Colombia-LATAM) – NIT 901.226.769-4 – contratista actual</t>
  </si>
  <si>
    <t>01/07/2026</t>
  </si>
  <si>
    <t>SE INCORPORA al conjunto de datos del ANEXO 3.</t>
  </si>
  <si>
    <t>Histórico contractual de la Entidad, homologado e indexado por IPC</t>
  </si>
  <si>
    <t>Contrato FGN-NC-334-2024 – oferta económica del 10/12/2024</t>
  </si>
  <si>
    <t>10/12/2024</t>
  </si>
  <si>
    <t>Ver ANEXO 2</t>
  </si>
  <si>
    <t>SE INCORPORA al conjunto de datos del ANEXO 3 como una observación más del mercado.</t>
  </si>
  <si>
    <t>ESTADÍSTICA DESCRIPTIVA DE LAS COTIZACIONES RECIBIDAS (valor mensual con IVA)</t>
  </si>
  <si>
    <t>VIGENCIA 2026</t>
  </si>
  <si>
    <t>VIGENCIA 2027</t>
  </si>
  <si>
    <t>VIGENCIA 2028</t>
  </si>
  <si>
    <t>n</t>
  </si>
  <si>
    <t>MÍNIMO</t>
  </si>
  <si>
    <t>PROMEDIO</t>
  </si>
  <si>
    <t>MÁXIMO</t>
  </si>
  <si>
    <t>MEDIANA</t>
  </si>
  <si>
    <t>DESVIACIÓN ESTÁNDAR MUESTRAL</t>
  </si>
  <si>
    <t>COEFICIENTE DE VARIACIÓN</t>
  </si>
  <si>
    <t>IDENTIFICACIÓN DE LOS COTIZANTES</t>
  </si>
  <si>
    <t>RAZÓN SOCIAL</t>
  </si>
  <si>
    <t>NIT</t>
  </si>
  <si>
    <t>ORIGEN DE LA COTIZACIÓN</t>
  </si>
  <si>
    <t>IMAGROUP COLOMBIA S.A.S.</t>
  </si>
  <si>
    <t>900.075.108-3</t>
  </si>
  <si>
    <t>Oferta en el SECOP II – SIP FGN-NC-SIP-486-2026</t>
  </si>
  <si>
    <t>MEDIA TECHNOLOGY WORLD S.A.S. (IP Noticias Colombia-LATAM)</t>
  </si>
  <si>
    <t>901.226.769-4</t>
  </si>
  <si>
    <t>Correo electrónico – sondeo directo del área requirente</t>
  </si>
  <si>
    <t>RESULTADO DEL EVENTO PÚBLICO DE SOLICITUD DE INFORMACIÓN A PROVEEDORES (Decreto 1600 de 2024)</t>
  </si>
  <si>
    <t>Número del proceso</t>
  </si>
  <si>
    <t>FGN-NC-SIP-486-2026</t>
  </si>
  <si>
    <t>Identificador único</t>
  </si>
  <si>
    <t>CO1.REQ.10846155</t>
  </si>
  <si>
    <t>Plataforma</t>
  </si>
  <si>
    <t>SECOP II</t>
  </si>
  <si>
    <t>Fecha de publicación</t>
  </si>
  <si>
    <t>13 de agosto de 2026, 8:30 a. m.</t>
  </si>
  <si>
    <t>Fecha límite de respuesta</t>
  </si>
  <si>
    <t>20 de agosto de 2026, 12:00 m.</t>
  </si>
  <si>
    <t>Códigos UNSPSC del evento</t>
  </si>
  <si>
    <t>83121700 «Servicios de comunicación masiva» y 86131500</t>
  </si>
  <si>
    <t>Cantidad publicada</t>
  </si>
  <si>
    <t>19 mensualidades de servicio</t>
  </si>
  <si>
    <t>Proveedores clasificados en los códigos</t>
  </si>
  <si>
    <t>829</t>
  </si>
  <si>
    <t>Invitaciones directas</t>
  </si>
  <si>
    <t>0 – convocatoria abierta a la totalidad de los proveedores clasificados</t>
  </si>
  <si>
    <t>Proveedores interesados</t>
  </si>
  <si>
    <t>2 – LINKTIC S.A.S. (NIT 900.037.743) e IMAGROUP COLOMBIA S.A.S. (NIT 900.075.108)</t>
  </si>
  <si>
    <t>Ofertas recibidas</t>
  </si>
  <si>
    <t>1 – IMAGROUP COLOMBIA S.A.S., oferta CO1.RANL.9538616 del 14/08/2026</t>
  </si>
  <si>
    <t>NOTAS:</t>
  </si>
  <si>
    <t>1) La unidad de comparación es el valor de UNA (1) MENSUALIDAD DE SERVICIO CON IVA INCLUIDO, por ser la unidad de medida del objeto y el valor que se compara en la modalidad de mínima cuantía.</t>
  </si>
  <si>
    <t>2) La oferta de IMAGROUP COLOMBIA S.A.S. se presentó en un único renglón por 19 mensualidades a precio unitario constante de $42.602.000 (valor total $809.438.000); por ello el mismo valor se replica en las tres vigencias.</t>
  </si>
  <si>
    <t>3) La desviación estándar se calcula como desviación muestral (función STDEV), por tratarse de una muestra del mercado y no de la población completa de proveedores.</t>
  </si>
  <si>
    <t>4) El coeficiente de variación mide la dispersión relativa de los precios cotizados y constituye el insumo del ítem 4 de la lista de chequeo de riesgo de colusión del numeral 8 del estudio del sector.</t>
  </si>
  <si>
    <t>ANEXO 2 – ANTECEDENTE CONTRACTUAL E INDEXACIÓN POR IPC AL NIVEL DE PRECIOS DE CADA VIGENCIA</t>
  </si>
  <si>
    <t>Fuente: oferta económica suscrita por MEDIA TECHNOLOGY WORLD S.A.S. el 10 de diciembre de 2024 (ANEXO 3 del proceso FGN-NC-MC-0088-2024), que soporta el contrato FGN-NC-334-2024, y factura electrónica de venta No. MT-4835 del 14/05/2026.</t>
  </si>
  <si>
    <t>Tarifa de IVA</t>
  </si>
  <si>
    <t>A. VALORES PACTADOS POR VIGENCIA Y DETERIORO REAL DEL PRECIO</t>
  </si>
  <si>
    <t>VIGENCIA</t>
  </si>
  <si>
    <t>PERÍODO DE APLICACIÓN</t>
  </si>
  <si>
    <t>VALOR UNITARIO SIN IVA</t>
  </si>
  <si>
    <t>IVA UNITARIO</t>
  </si>
  <si>
    <t>VALOR MENSUAL CON IVA</t>
  </si>
  <si>
    <t>INCREMENTO NOMINAL</t>
  </si>
  <si>
    <t>VARIACIÓN DEL IPC DEL AÑO ANTERIOR</t>
  </si>
  <si>
    <t>LECTURA</t>
  </si>
  <si>
    <t>13 al 31 de diciembre de 2024</t>
  </si>
  <si>
    <t>—</t>
  </si>
  <si>
    <t>Precio base de la oferta económica.</t>
  </si>
  <si>
    <t>1 de enero al 31 de diciembre de 2025</t>
  </si>
  <si>
    <t>El incremento nominal aplicado fue 15,1 veces inferior a la inflación causada en el año anterior.</t>
  </si>
  <si>
    <t>1 de enero al 30 de noviembre de 2026</t>
  </si>
  <si>
    <t>El incremento nominal aplicado fue 6,7 veces inferior a la inflación proyectada para la vigencia.</t>
  </si>
  <si>
    <t>DETERIORO REAL ACUMULADO DEL PRECIO VIGENTE FRENTE AL PRECIO DE 2024 INDEXADO A DICIEMBRE DE 2026</t>
  </si>
  <si>
    <t>El precio del contrato en ejecución perdió capacidad adquisitiva frente al precio pactado en 2024.</t>
  </si>
  <si>
    <t>B. PARÁMETROS DE INDEXACIÓN</t>
  </si>
  <si>
    <t>Valor mensual con IVA – vigencia 2024 (base de la indexación)</t>
  </si>
  <si>
    <t>Oferta económica del 10/12/2024. Es el último precio formado en condiciones de mercado abierto.</t>
  </si>
  <si>
    <t>Índice IPC – diciembre de 2024 (origen)</t>
  </si>
  <si>
    <t>DANE – serie de empalme, base diciembre de 2018 = 100,00.</t>
  </si>
  <si>
    <t>Índice IPC – diciembre de 2025</t>
  </si>
  <si>
    <t>DANE – serie de empalme.</t>
  </si>
  <si>
    <t>Variación del IPC 2025 (observada)</t>
  </si>
  <si>
    <t>Cálculo: 152,27 / 144,88 − 1.</t>
  </si>
  <si>
    <t>Variación del IPC 2026 (proyectada)</t>
  </si>
  <si>
    <t>Mediana de la Encuesta Mensual de Expectativas de Analistas Económicos del Banco de la República, julio de 2026.</t>
  </si>
  <si>
    <t>Variación del IPC 2027 (proyectada)</t>
  </si>
  <si>
    <t>Marco Fiscal de Mediano Plazo 2026 – Ministerio de Hacienda y Crédito Público. Proyección oficial del Gobierno Nacional, coherente con el instrumento contra el cual se autorizan las vigencias futuras.</t>
  </si>
  <si>
    <t>Variación del IPC 2028 (proyectada)</t>
  </si>
  <si>
    <t>Meta de inflación del Banco de la República (3 % ± 1 punto porcentual), por no existir a la fecha proyección de analistas para esa vigencia.</t>
  </si>
  <si>
    <t>Factor de indexación diciembre 2024 → diciembre 2026</t>
  </si>
  <si>
    <t>(1 + IPC 2025) × (1 + IPC 2026). Lleva el precio de 2024 al nivel de precios vigente en el momento de presentación de la oferta.</t>
  </si>
  <si>
    <t>C. VALOR HISTÓRICO INDEXADO AL NIVEL DE PRECIOS DE CADA VIGENCIA</t>
  </si>
  <si>
    <t>NIVEL DE PRECIOS</t>
  </si>
  <si>
    <t>FACTOR APLICADO</t>
  </si>
  <si>
    <t>VALOR MENSUAL CON IVA INDEXADO</t>
  </si>
  <si>
    <t>REGLA DE CÁLCULO</t>
  </si>
  <si>
    <t>2026</t>
  </si>
  <si>
    <t>Diciembre de 2026</t>
  </si>
  <si>
    <t>Valor de 2024 × factor de indexación diciembre 2024 → diciembre 2026.</t>
  </si>
  <si>
    <t>2027</t>
  </si>
  <si>
    <t>Vigencia 2027</t>
  </si>
  <si>
    <t>Valor del nivel anterior × (1 + IPC 2027 proyectado).</t>
  </si>
  <si>
    <t>2028</t>
  </si>
  <si>
    <t>Vigencia 2028</t>
  </si>
  <si>
    <t>Valor del nivel anterior × (1 + IPC 2028 proyectado).</t>
  </si>
  <si>
    <t>1) La unidad comparable del antecedente es el valor de una (1) mensualidad de servicio con IVA incluido, idéntica a la unidad de medida del objeto actual, por lo que no se requiere homologación de unidad.</t>
  </si>
  <si>
    <t>2) La indexación del tramo diciembre 2024 → diciembre 2026 se practica con la variación del IPC efectivamente causada en 2025 y con la proyección de cierre de 2026, por corresponder a inflación ya causada o en curso al momento de presentación de la oferta.</t>
  </si>
  <si>
    <t>3) La escalación de las vigencias 2027 y 2028 se practica con las proyecciones de inflación de cada uno de esos años (indexación prospectiva) y no con la inflación del año inmediatamente anterior (indexación retrospectiva). Esta es la diferencia metodológica esencial de la VERSIÓN 2 frente a la VERSIÓN 1: aquí el precio se estima para cada vigencia y, en consecuencia, la escalación queda incorporada en el propio presupuesto y no en una cláusula posterior de reajuste.</t>
  </si>
  <si>
    <t>4) El criterio prospectivo es además el que utiliza el propio mercado: la cotización de MEDIA TECHNOLOGY WORLD S.A.S. escala sus tarifas 5,20 % de 2026 a 2027 y 5,20 % de 2027 a 2028, porcentajes que corresponden a expectativas de inflación y no a inflación causada. Las proyecciones adoptadas para 2027 y 2028 (4,40 % y 3,00 %) son inferiores a esa escalación, de modo que la senda de precios del presupuesto oficial no supera la que el propio mercado incorporó.</t>
  </si>
  <si>
    <t>5) Los índices de agosto a diciembre de 2026 no han sido publicados por el DANE a la fecha de elaboración, razón por la cual ese tramo se completa con la proyección de mercado de la hoja ÍNDICES IPC.</t>
  </si>
  <si>
    <t>ANEXO 3 – CONSOLIDADO, DEPURACIÓN ESTADÍSTICA Y DETERMINACIÓN DEL PRECIO DE REFERENCIA POR VIGENCIA</t>
  </si>
  <si>
    <t>A. PRIMERA RONDA – CONJUNTO COMPLETO DE DATOS POR VIGENCIA Y DEFINICIÓN DEL LÍMITE SUPERIOR</t>
  </si>
  <si>
    <t>OBSERVACIONES HOMOLOGADAS (mensualidad con IVA, al nivel de precios de cada vigencia)</t>
  </si>
  <si>
    <t>ESTADÍSTICA – PRIMERA RONDA</t>
  </si>
  <si>
    <t>DESCRIPCIÓN</t>
  </si>
  <si>
    <t>UNIDAD</t>
  </si>
  <si>
    <t>MENSUALIDADES</t>
  </si>
  <si>
    <t>HISTÓRICO FGN-NC-334-2024 INDEXADO</t>
  </si>
  <si>
    <t>MEDIA TECHNOLOGY WORLD S.A.S.</t>
  </si>
  <si>
    <t>DESVIACIÓN ESTÁNDAR</t>
  </si>
  <si>
    <t>LÍMITE SUPERIOR
(promedio + 1 σ)</t>
  </si>
  <si>
    <t>MÍNIMO ACEPTADO
(promedio − 1 σ)</t>
  </si>
  <si>
    <t>DATOS EXCLUIDOS POR EXCESO</t>
  </si>
  <si>
    <t>Mensualidad del servicio de monitoreo, clasificación, medición y análisis de información</t>
  </si>
  <si>
    <t>MES</t>
  </si>
  <si>
    <t>Regla de depuración: los valores que superan el LÍMITE SUPERIOR (promedio + una desviación estándar) se consideran atípicos por exceso y no se tienen en cuenta en la segunda ronda.</t>
  </si>
  <si>
    <t>B. SEGUNDA RONDA – DATOS DEPURADOS, MÍNIMO ACEPTADO Y PRECIO ADOPTADO POR VIGENCIA</t>
  </si>
  <si>
    <t>MATRIZ DEPURADA (los datos atípicos se marcan como EXCLUIDO)</t>
  </si>
  <si>
    <t>ESTADÍSTICA – SEGUNDA RONDA</t>
  </si>
  <si>
    <t>EVALUACIÓN Y PRECIO ADOPTADO</t>
  </si>
  <si>
    <t>PROMEDIO DEPURADO</t>
  </si>
  <si>
    <t>MENOR VALOR OBSERVADO</t>
  </si>
  <si>
    <t>¿EL MENOR VALOR ES RAZONABLE?</t>
  </si>
  <si>
    <t>PRECIO DE REFERENCIA ADOPTADO</t>
  </si>
  <si>
    <t>C. CUADRO DE PRECIOS DE REFERENCIA POR VIGENCIA</t>
  </si>
  <si>
    <t>PERÍODO</t>
  </si>
  <si>
    <t>HISTÓRICO INDEXADO</t>
  </si>
  <si>
    <t>COTIZACIÓN DE MERCADO</t>
  </si>
  <si>
    <t>PRECIO DE REFERENCIA (promedio)</t>
  </si>
  <si>
    <t>VARIACIÓN FRENTE A LA VIGENCIA ANTERIOR</t>
  </si>
  <si>
    <t>VALOR POR VIGENCIA</t>
  </si>
  <si>
    <t>1 al 31 de diciembre de 2026</t>
  </si>
  <si>
    <t>1 de enero al 31 de diciembre de 2027</t>
  </si>
  <si>
    <t>1 de enero al 30 de junio de 2028</t>
  </si>
  <si>
    <t>TOTAL – PRESUPUESTO OFICIAL ESTIMADO (19 mensualidades, IVA incluido)</t>
  </si>
  <si>
    <t>1) El conjunto de datos de cada vigencia está integrado por las dos (2) cotizaciones del ANEXO 1 —cada una con el valor que el proveedor asignó a esa vigencia— y por el valor histórico del contrato FGN-NC-334-2024 indexado al nivel de precios de la misma vigencia (ANEXO 2).</t>
  </si>
  <si>
    <t>2) La oferta de IMAGROUP COLOMBIA S.A.S. se presentó a precio unitario constante para las diecinueve (19) mensualidades, razón por la cual el mismo valor se somete a la prueba de depuración en las tres vigencias. En las tres supera el límite superior y en las tres se excluye.</t>
  </si>
  <si>
    <t>3) La desviación estándar se calcula como desviación muestral (función STDEV). Primera ronda: se excluyen los valores superiores al promedio más una desviación estándar. Segunda ronda: con los datos retenidos se recalcula la estadística y se verifica que el menor valor no sea atípico por defecto.</t>
  </si>
  <si>
    <t>4) Determinación del precio: se adopta el PROMEDIO del conjunto depurado de cada vigencia, por las mismas razones expuestas en la VERSIÓN 1 del análisis —adoptar el menor valor fijaría el presupuesto por debajo de la única oferta de mercado conocida y haría cierto el riesgo de proceso desierto; adoptar solo la cotización equivaldría a fijar el presupuesto con el precio del contratista incumbente—.</t>
  </si>
  <si>
    <t>5) La variación entre los precios de referencia de vigencias sucesivas refleja la escalación conjunta de las dos fuentes retenidas y debe leerse como la senda de precios prevista para el plazo de ejecución, no como una fórmula de reajuste contractual.</t>
  </si>
  <si>
    <t>6) Diferencia con la VERSIÓN 1: en este escenario NO se establece cláusula de reajuste. El proponente oferta un valor mensual por cada vigencia y la escalación queda incorporada desde el inicio en el presupuesto oficial y en el contrato.</t>
  </si>
  <si>
    <t>ANEXO 4 – PRESUPUESTO OFICIAL POR VIGENCIAS (PRECIO ESTIMADO PARA CADA VIGENCIA)</t>
  </si>
  <si>
    <t>NECESIDAD</t>
  </si>
  <si>
    <t>A. DISTRIBUCIÓN DEL PRESUPUESTO OFICIAL</t>
  </si>
  <si>
    <t>ORIGEN DEL PRECIO</t>
  </si>
  <si>
    <t>VALOR POR VIGENCIA CON IVA</t>
  </si>
  <si>
    <t>PARTICIPACIÓN</t>
  </si>
  <si>
    <t>Promedio depurado de la vigencia 2026 (ANEXO 3)</t>
  </si>
  <si>
    <t>Promedio depurado de la vigencia 2027 (ANEXO 3)</t>
  </si>
  <si>
    <t>Promedio depurado de la vigencia 2028 (ANEXO 3)</t>
  </si>
  <si>
    <t>TOTAL</t>
  </si>
  <si>
    <t>Del 1 de diciembre de 2026 al 30 de junio de 2028</t>
  </si>
  <si>
    <t>B. IMPUTACIÓN PRESUPUESTAL</t>
  </si>
  <si>
    <t>CONCEPTO</t>
  </si>
  <si>
    <t>VALOR</t>
  </si>
  <si>
    <t>INSTRUMENTO REQUERIDO</t>
  </si>
  <si>
    <t>Vigencia 2026 – rubro 02-02-02-008-004-04 «Adquisición de bienes y servicios – Servicios»</t>
  </si>
  <si>
    <t>Certificado de Disponibilidad Presupuestal de la vigencia 2026</t>
  </si>
  <si>
    <t>Vigencias futuras 2027 y 2028</t>
  </si>
  <si>
    <t>Autorización previa de vigencias futuras ordinarias (artículo 23 del Estatuto Orgánico del Presupuesto y Decreto 1068 de 2015)</t>
  </si>
  <si>
    <t>VALOR DEL ESTUDIO DEL SECTOR – PRESUPUESTO OFICIAL DEL PROCESO (incluidos el IVA y la totalidad de los costos directos e indirectos)</t>
  </si>
  <si>
    <t>1) En esta versión el presupuesto se construye con un precio de referencia distinto para cada vigencia, obtenido de la depuración estadística practicada sobre las observaciones expresadas al nivel de precios de la respectiva vigencia (ANEXO 3).</t>
  </si>
  <si>
    <t>2) Régimen de ajuste: NO se establece cláusula de reajuste. El proponente ofertará un valor mensual para cada una de las tres vigencias y esos valores permanecerán fijos durante todo el plazo de ejecución. La escalación esperada de precios queda incorporada desde el inicio en el presupuesto oficial y en el contrato.</t>
  </si>
  <si>
    <t>3) Ventaja del esquema: elimina la controversia sobre la procedencia y la base de cálculo del reajuste durante la ejecución, y permite conocer desde la apertura el valor exacto que se comprometerá en cada vigencia futura, lo que facilita el trámite de la autorización correspondiente.</t>
  </si>
  <si>
    <t>ÍNDICES DE PRECIOS AL CONSUMIDOR UTILIZADOS EN LA INDEXACIÓN</t>
  </si>
  <si>
    <t>DANE – Total nacional, Índice de Precios al Consumidor (IPC). Índices – serie de empalme 2003-2026. Base diciembre de 2018 = 100,00. Corte: julio de 2026.</t>
  </si>
  <si>
    <t>AÑO 2024</t>
  </si>
  <si>
    <t>AÑO 2025</t>
  </si>
  <si>
    <t>AÑO 2026</t>
  </si>
  <si>
    <t>OBSERVACIÓN</t>
  </si>
  <si>
    <t>Enero</t>
  </si>
  <si>
    <t>Febrero</t>
  </si>
  <si>
    <t>Marzo</t>
  </si>
  <si>
    <t>Abril</t>
  </si>
  <si>
    <t>Mayo</t>
  </si>
  <si>
    <t>Junio</t>
  </si>
  <si>
    <t>Julio</t>
  </si>
  <si>
    <t>Último índice publicado por el DANE. Variación anual: 6,03 %.</t>
  </si>
  <si>
    <t>Agosto</t>
  </si>
  <si>
    <t>n. d.</t>
  </si>
  <si>
    <t>Septiembre</t>
  </si>
  <si>
    <t>Octubre</t>
  </si>
  <si>
    <t>Noviembre</t>
  </si>
  <si>
    <t>Diciembre</t>
  </si>
  <si>
    <t>Diciembre de 2024 = índice de origen de la indexación (144,88). Diciembre de 2026 = índice de destino (proyectado).</t>
  </si>
  <si>
    <t>PROYECCIONES DE INFLACIÓN EMPLEADAS</t>
  </si>
  <si>
    <t>VARIABLE</t>
  </si>
  <si>
    <t>FUENTE</t>
  </si>
  <si>
    <t>Cálculo sobre la serie de empalme: 152,27 / 144,88 − 1.</t>
  </si>
  <si>
    <t>Variación anual del IPC a julio de 2026 (observada)</t>
  </si>
  <si>
    <t>Cálculo sobre la serie de empalme: 159,79 / 150,71 − 1.</t>
  </si>
  <si>
    <t>Variación del IPC 2026 (proyectada) – ADOPTADA</t>
  </si>
  <si>
    <t>Mediana de la Encuesta Mensual de Expectativas de Analistas Económicos del Banco de la República, julio de 2026, citada en el comunicado de la Junta Directiva del 31/07/2026. Es la fuente más reciente para una vigencia en curso.</t>
  </si>
  <si>
    <t>Variación del IPC 2027 (proyectada) – ADOPTADA</t>
  </si>
  <si>
    <t>Marco Fiscal de Mediano Plazo 2026 – Ministerio de Hacienda y Crédito Público. Es la proyección oficial del Gobierno Nacional y el instrumento contra el cual se autorizan las vigencias futuras (Ley 819 de 2003).</t>
  </si>
  <si>
    <t>Variación del IPC 2028 (proyectada) – ADOPTADA</t>
  </si>
  <si>
    <t>Meta de inflación del Banco de la República (3 % ± 1 p. p.), por no existir a la fecha proyección de analistas para esa vigencia.</t>
  </si>
  <si>
    <t>Variación del IPC 2026 – Marco Fiscal de Mediano Plazo 2026</t>
  </si>
  <si>
    <t>Ministerio de Hacienda y Crédito Público. Escenario alterno de sensibilidad.</t>
  </si>
  <si>
    <t>Variación del IPC 2027 – Encuesta Mensual de Expectativas del Banco de la República</t>
  </si>
  <si>
    <t>Mediana de las expectativas de analistas para 2027, julio de 2026. Escenario alterno de sensibilidad.</t>
  </si>
  <si>
    <t>Meta de inflación del Banco de la República</t>
  </si>
  <si>
    <t>Rango meta 3 % ± 1 punto porcentual.</t>
  </si>
  <si>
    <t>Tasa de interés de intervención</t>
  </si>
  <si>
    <t>Junta Directiva del Banco de la República – decisión del 31 de julio de 2026 (se mantiene en 12,00 %).</t>
  </si>
  <si>
    <t>Fuente: DANE. https://www.dane.gov.co/index.php/estadisticas-por-tema/precios-y-costos/indice-de-precios-al-consumidor-ipc</t>
  </si>
  <si>
    <t>ANOTACIÓN: el índice de agosto de 2026 se publica en septiembre de 2026. El Equipo Estructurador debe actualizar la serie y el factor de indexación si el proceso se abre con posterioridad al cierre de la vigencia 2026.</t>
  </si>
  <si>
    <t>4) Para efectos de la comparación de ofertas, el valor total de cada propuesta corresponde a la suma de los valores mensuales ofertados multiplicados por el número de mensualidades de cada vigencia (1, 12 y 6). Ninguna oferta podrá superar el presupuesto oficial ni, individualmente considerada, el valor apropiado para cada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</si>
</sst>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quot;($&quot;#,##0\);\-"/>
    <numFmt numFmtId="166" formatCode="0.000000"/>
  </numFmts>
  <fonts count="16" x14ac:knownFonts="1">
    <font>
      <sz val="11"/>
      <color theme="1"/>
      <name val="Calibri"/>
      <family val="2"/>
      <scheme val="minor"/>
    </font>
    <font>
      <b/>
      <sz val="9"/>
      <color rgb="FFFFFFFF"/>
      <name val="Arial"/>
    </font>
    <font>
      <sz val="8"/>
      <color rgb="FF000000"/>
      <name val="Arial"/>
    </font>
    <font>
      <b/>
      <sz val="9"/>
      <color rgb="FF000000"/>
      <name val="Arial"/>
    </font>
    <font>
      <b/>
      <sz val="9"/>
      <color rgb="FF0000FF"/>
      <name val="Arial"/>
    </font>
    <font>
      <sz val="9"/>
      <color rgb="FF000000"/>
      <name val="Arial"/>
    </font>
    <font>
      <b/>
      <sz val="8"/>
      <color rgb="FF000000"/>
      <name val="Arial"/>
    </font>
    <font>
      <sz val="9"/>
      <color rgb="FF0000FF"/>
      <name val="Arial"/>
    </font>
    <font>
      <sz val="9"/>
      <color rgb="FF008000"/>
      <name val="Arial"/>
    </font>
    <font>
      <b/>
      <sz val="9"/>
      <color rgb="FFC00000"/>
      <name val="Arial"/>
    </font>
    <font>
      <b/>
      <sz val="9"/>
      <color rgb="FF008000"/>
      <name val="Arial"/>
    </font>
    <font>
      <sz val="8"/>
      <color rgb="FFC00000"/>
      <name val="Arial"/>
    </font>
    <font>
      <b/>
      <sz val="12"/>
      <color rgb="FF008000"/>
      <name val="Arial"/>
    </font>
    <font>
      <sz val="9"/>
      <color rgb="FFC00000"/>
      <name val="Arial"/>
    </font>
    <font>
      <sz val="8"/>
      <color rgb="FF008000"/>
      <name val="Arial"/>
    </font>
    <font>
      <sz val="9"/>
      <color rgb="FF808080"/>
      <name val="Arial"/>
    </font>
  </fonts>
  <fills count="7">
    <fill>
      <patternFill patternType="none"/>
    </fill>
    <fill>
      <patternFill patternType="gray125"/>
    </fill>
    <fill>
      <patternFill patternType="solid">
        <fgColor rgb="FF1F3864"/>
      </patternFill>
    </fill>
    <fill>
      <patternFill patternType="solid">
        <fgColor rgb="FFF2F2F2"/>
      </patternFill>
    </fill>
    <fill>
      <patternFill patternType="solid">
        <fgColor rgb="FFFFF2CC"/>
      </patternFill>
    </fill>
    <fill>
      <patternFill patternType="solid">
        <fgColor rgb="FFD9E2F3"/>
      </patternFill>
    </fill>
    <fill>
      <patternFill patternType="solid">
        <fgColor rgb="FFE2EFDA"/>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77">
    <xf numFmtId="0" fontId="0" fillId="0" borderId="0" xfId="0"/>
    <xf numFmtId="0" fontId="3" fillId="3" borderId="1" xfId="0" applyFont="1" applyFill="1" applyBorder="1" applyAlignment="1">
      <alignment horizontal="left" vertical="center" wrapText="1"/>
    </xf>
    <xf numFmtId="0" fontId="5" fillId="0" borderId="1" xfId="0" applyFont="1" applyBorder="1" applyAlignment="1">
      <alignment horizontal="left" vertical="center" wrapText="1"/>
    </xf>
    <xf numFmtId="0" fontId="3" fillId="0" borderId="1" xfId="0" applyFont="1" applyBorder="1" applyAlignment="1">
      <alignment horizontal="left" vertical="center" wrapText="1"/>
    </xf>
    <xf numFmtId="165" fontId="10" fillId="0" borderId="1" xfId="0" applyNumberFormat="1" applyFont="1" applyBorder="1" applyAlignment="1">
      <alignment horizontal="center" vertical="center" wrapText="1"/>
    </xf>
    <xf numFmtId="0" fontId="3" fillId="4" borderId="1" xfId="0" applyFont="1" applyFill="1" applyBorder="1" applyAlignment="1">
      <alignment horizontal="left" vertical="center" wrapText="1"/>
    </xf>
    <xf numFmtId="165" fontId="12" fillId="4" borderId="1" xfId="0" applyNumberFormat="1" applyFont="1" applyFill="1" applyBorder="1" applyAlignment="1">
      <alignment horizontal="center" vertical="center" wrapText="1"/>
    </xf>
    <xf numFmtId="165" fontId="7" fillId="0" borderId="1" xfId="0" applyNumberFormat="1" applyFont="1" applyBorder="1" applyAlignment="1">
      <alignment horizontal="center" vertical="center" wrapText="1"/>
    </xf>
    <xf numFmtId="165" fontId="5" fillId="0" borderId="1" xfId="0" applyNumberFormat="1" applyFont="1" applyBorder="1" applyAlignment="1">
      <alignment horizontal="center" vertical="center" wrapText="1"/>
    </xf>
    <xf numFmtId="0" fontId="3"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0" borderId="1" xfId="0" applyFont="1" applyBorder="1" applyAlignment="1">
      <alignment horizontal="center" vertical="center" wrapText="1"/>
    </xf>
    <xf numFmtId="165" fontId="7" fillId="0" borderId="1" xfId="0" applyNumberFormat="1" applyFont="1" applyBorder="1" applyAlignment="1">
      <alignment horizontal="right" vertical="center" wrapText="1"/>
    </xf>
    <xf numFmtId="0" fontId="13" fillId="0" borderId="1" xfId="0" applyFont="1" applyBorder="1" applyAlignment="1">
      <alignment horizontal="left" vertical="center" wrapText="1"/>
    </xf>
    <xf numFmtId="0" fontId="14" fillId="0" borderId="1" xfId="0" applyFont="1" applyBorder="1" applyAlignment="1">
      <alignment horizontal="center" vertical="center" wrapText="1"/>
    </xf>
    <xf numFmtId="165" fontId="5" fillId="0" borderId="1" xfId="0" applyNumberFormat="1" applyFont="1" applyBorder="1" applyAlignment="1">
      <alignment horizontal="right" vertical="center" wrapText="1"/>
    </xf>
    <xf numFmtId="165" fontId="3" fillId="0" borderId="1" xfId="0" applyNumberFormat="1" applyFont="1" applyBorder="1" applyAlignment="1">
      <alignment horizontal="right" vertical="center" wrapText="1"/>
    </xf>
    <xf numFmtId="164" fontId="13" fillId="0" borderId="1" xfId="0" applyNumberFormat="1" applyFont="1" applyBorder="1" applyAlignment="1">
      <alignment horizontal="right"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10" fontId="5" fillId="0" borderId="1" xfId="0" applyNumberFormat="1" applyFont="1" applyBorder="1" applyAlignment="1">
      <alignment horizontal="center" vertical="center" wrapText="1"/>
    </xf>
    <xf numFmtId="10" fontId="8"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6" fillId="6" borderId="1" xfId="0" applyFont="1" applyFill="1" applyBorder="1" applyAlignment="1">
      <alignment horizontal="center" vertical="center" wrapText="1"/>
    </xf>
    <xf numFmtId="0" fontId="7" fillId="0" borderId="1" xfId="0" applyFont="1" applyBorder="1" applyAlignment="1">
      <alignment horizontal="center" vertical="center" wrapText="1"/>
    </xf>
    <xf numFmtId="165" fontId="8" fillId="6" borderId="1" xfId="0" applyNumberFormat="1" applyFont="1" applyFill="1" applyBorder="1" applyAlignment="1">
      <alignment horizontal="right" vertical="center" wrapText="1"/>
    </xf>
    <xf numFmtId="165" fontId="8" fillId="0" borderId="1" xfId="0" applyNumberFormat="1" applyFont="1" applyBorder="1" applyAlignment="1">
      <alignment horizontal="right" vertical="center" wrapText="1"/>
    </xf>
    <xf numFmtId="165" fontId="9" fillId="0" borderId="1" xfId="0" applyNumberFormat="1" applyFont="1" applyBorder="1" applyAlignment="1">
      <alignment horizontal="right" vertical="center" wrapText="1"/>
    </xf>
    <xf numFmtId="0" fontId="5" fillId="0" borderId="0" xfId="0" applyFont="1" applyAlignment="1">
      <alignment horizontal="left" vertical="center" wrapText="1"/>
    </xf>
    <xf numFmtId="0" fontId="8" fillId="0" borderId="1" xfId="0" applyFont="1" applyBorder="1" applyAlignment="1">
      <alignment horizontal="center" vertical="center" wrapText="1"/>
    </xf>
    <xf numFmtId="165" fontId="10" fillId="4" borderId="1" xfId="0" applyNumberFormat="1" applyFont="1" applyFill="1" applyBorder="1" applyAlignment="1">
      <alignment horizontal="right" vertical="center" wrapText="1"/>
    </xf>
    <xf numFmtId="0" fontId="3" fillId="4" borderId="1" xfId="0" applyFont="1" applyFill="1" applyBorder="1" applyAlignment="1">
      <alignment horizontal="center" vertical="center" wrapText="1"/>
    </xf>
    <xf numFmtId="0" fontId="6" fillId="5"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165" fontId="3" fillId="5" borderId="1" xfId="0" applyNumberFormat="1" applyFont="1" applyFill="1" applyBorder="1" applyAlignment="1">
      <alignment horizontal="right" vertical="center" wrapText="1"/>
    </xf>
    <xf numFmtId="2" fontId="7" fillId="0" borderId="1" xfId="0" applyNumberFormat="1" applyFont="1" applyBorder="1" applyAlignment="1">
      <alignment horizontal="center" vertical="center" wrapText="1"/>
    </xf>
    <xf numFmtId="2" fontId="7" fillId="4" borderId="1" xfId="0"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2" fillId="0" borderId="0" xfId="0" applyFont="1" applyAlignment="1">
      <alignment horizontal="left" vertical="center" wrapText="1"/>
    </xf>
    <xf numFmtId="0" fontId="0" fillId="0" borderId="0" xfId="0"/>
    <xf numFmtId="0" fontId="2" fillId="0" borderId="1" xfId="0" applyFont="1" applyBorder="1" applyAlignment="1">
      <alignment horizontal="left" vertical="center" wrapText="1"/>
    </xf>
    <xf numFmtId="0" fontId="0" fillId="0" borderId="1" xfId="0" applyBorder="1"/>
    <xf numFmtId="0" fontId="6" fillId="5" borderId="1" xfId="0" applyFont="1" applyFill="1" applyBorder="1" applyAlignment="1">
      <alignment horizontal="center" vertical="center" wrapText="1"/>
    </xf>
    <xf numFmtId="0" fontId="0" fillId="5" borderId="1" xfId="0" applyFill="1" applyBorder="1"/>
    <xf numFmtId="165" fontId="12" fillId="4" borderId="1" xfId="0" applyNumberFormat="1" applyFont="1" applyFill="1" applyBorder="1" applyAlignment="1">
      <alignment horizontal="center" vertical="center" wrapText="1"/>
    </xf>
    <xf numFmtId="0" fontId="0" fillId="4" borderId="1" xfId="0" applyFill="1" applyBorder="1"/>
    <xf numFmtId="0" fontId="6" fillId="3" borderId="1" xfId="0" applyFont="1" applyFill="1" applyBorder="1" applyAlignment="1">
      <alignment horizontal="left" vertical="center" wrapText="1"/>
    </xf>
    <xf numFmtId="0" fontId="6" fillId="0" borderId="1" xfId="0" applyFont="1" applyBorder="1" applyAlignment="1">
      <alignment horizontal="left" vertical="center" wrapText="1"/>
    </xf>
    <xf numFmtId="0" fontId="3" fillId="5" borderId="1" xfId="0" applyFont="1" applyFill="1" applyBorder="1" applyAlignment="1">
      <alignment horizontal="left" vertical="center" wrapText="1"/>
    </xf>
    <xf numFmtId="164" fontId="5"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0" fillId="2" borderId="1" xfId="0" applyFill="1" applyBorder="1"/>
    <xf numFmtId="0" fontId="3" fillId="4" borderId="1" xfId="0" applyFont="1" applyFill="1" applyBorder="1" applyAlignment="1">
      <alignment horizontal="left" vertical="center" wrapText="1"/>
    </xf>
    <xf numFmtId="164" fontId="3" fillId="5" borderId="1" xfId="0" applyNumberFormat="1" applyFont="1" applyFill="1" applyBorder="1" applyAlignment="1">
      <alignment horizontal="center" vertical="center" wrapText="1"/>
    </xf>
    <xf numFmtId="0" fontId="6" fillId="0" borderId="0" xfId="0" applyFont="1" applyAlignment="1">
      <alignment horizontal="left" vertical="center" wrapText="1"/>
    </xf>
    <xf numFmtId="0" fontId="3" fillId="5"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3" fillId="3" borderId="1" xfId="0" applyFont="1" applyFill="1" applyBorder="1" applyAlignment="1">
      <alignment horizontal="left" vertical="center" wrapText="1"/>
    </xf>
    <xf numFmtId="0" fontId="0" fillId="3" borderId="1" xfId="0" applyFill="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0" fillId="0" borderId="2" xfId="0" applyBorder="1"/>
    <xf numFmtId="166" fontId="3"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10" fontId="9" fillId="0" borderId="1" xfId="0" applyNumberFormat="1" applyFont="1" applyBorder="1" applyAlignment="1">
      <alignment horizontal="center" vertical="center" wrapText="1"/>
    </xf>
    <xf numFmtId="165" fontId="10" fillId="4" borderId="1" xfId="0" applyNumberFormat="1" applyFont="1" applyFill="1" applyBorder="1" applyAlignment="1">
      <alignment horizontal="center" vertical="center" wrapText="1"/>
    </xf>
    <xf numFmtId="166" fontId="5" fillId="0" borderId="1" xfId="0" applyNumberFormat="1" applyFont="1" applyBorder="1" applyAlignment="1">
      <alignment horizontal="center" vertical="center" wrapText="1"/>
    </xf>
    <xf numFmtId="164" fontId="5" fillId="4" borderId="1" xfId="0" applyNumberFormat="1" applyFont="1" applyFill="1" applyBorder="1" applyAlignment="1">
      <alignment horizontal="left" vertical="center" wrapText="1"/>
    </xf>
    <xf numFmtId="2" fontId="10" fillId="0" borderId="1" xfId="0"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165"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1" fillId="0" borderId="0" xfId="0" applyFont="1" applyAlignment="1">
      <alignment horizontal="left" vertical="center" wrapText="1"/>
    </xf>
    <xf numFmtId="10" fontId="4" fillId="0" borderId="1" xfId="0" applyNumberFormat="1" applyFont="1" applyBorder="1" applyAlignment="1">
      <alignment horizontal="center" vertical="center" wrapText="1"/>
    </xf>
    <xf numFmtId="10" fontId="4" fillId="4" borderId="1" xfId="0" applyNumberFormat="1" applyFont="1" applyFill="1" applyBorder="1" applyAlignment="1">
      <alignment horizontal="center" vertical="center" wrapText="1"/>
    </xf>
    <xf numFmtId="10" fontId="3" fillId="0" borderId="1" xfId="0" applyNumberFormat="1" applyFont="1" applyBorder="1" applyAlignment="1">
      <alignment horizontal="center" vertical="center" wrapText="1"/>
    </xf>
  </cellXfs>
  <cellStyles count="1">
    <cellStyle name="Normal" xfId="0" builtinId="0"/>
  </cellStyles>
  <dxfs count="1">
    <dxf>
      <font>
        <b/>
        <strike/>
        <sz val="9"/>
        <color rgb="FFC00000"/>
        <name val="Arial"/>
      </font>
      <fill>
        <patternFill patternType="solid">
          <fgColor rgb="FFFCE4D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C48"/>
  <sheetViews>
    <sheetView showGridLines="0" topLeftCell="A32" workbookViewId="0">
      <selection activeCell="A50" sqref="A50:XFD50"/>
    </sheetView>
  </sheetViews>
  <sheetFormatPr baseColWidth="10" defaultColWidth="9" defaultRowHeight="15" x14ac:dyDescent="0.25"/>
  <cols>
    <col min="1" max="1" width="3" customWidth="1"/>
    <col min="2" max="2" width="46" customWidth="1"/>
    <col min="3" max="3" width="95" customWidth="1"/>
  </cols>
  <sheetData>
    <row r="2" spans="2:3" x14ac:dyDescent="0.25">
      <c r="B2" s="50" t="s">
        <v>0</v>
      </c>
      <c r="C2" s="51"/>
    </row>
    <row r="4" spans="2:3" x14ac:dyDescent="0.25">
      <c r="B4" s="1" t="s">
        <v>1</v>
      </c>
      <c r="C4" s="2" t="s">
        <v>2</v>
      </c>
    </row>
    <row r="5" spans="2:3" x14ac:dyDescent="0.25">
      <c r="B5" s="1" t="s">
        <v>3</v>
      </c>
      <c r="C5" s="2" t="s">
        <v>4</v>
      </c>
    </row>
    <row r="6" spans="2:3" ht="36" x14ac:dyDescent="0.25">
      <c r="B6" s="1" t="s">
        <v>5</v>
      </c>
      <c r="C6" s="2" t="s">
        <v>6</v>
      </c>
    </row>
    <row r="7" spans="2:3" x14ac:dyDescent="0.25">
      <c r="B7" s="1" t="s">
        <v>7</v>
      </c>
      <c r="C7" s="2" t="s">
        <v>8</v>
      </c>
    </row>
    <row r="8" spans="2:3" x14ac:dyDescent="0.25">
      <c r="B8" s="1" t="s">
        <v>9</v>
      </c>
      <c r="C8" s="2" t="s">
        <v>10</v>
      </c>
    </row>
    <row r="9" spans="2:3" x14ac:dyDescent="0.25">
      <c r="B9" s="1" t="s">
        <v>11</v>
      </c>
      <c r="C9" s="2" t="s">
        <v>12</v>
      </c>
    </row>
    <row r="10" spans="2:3" x14ac:dyDescent="0.25">
      <c r="B10" s="1" t="s">
        <v>13</v>
      </c>
      <c r="C10" s="2" t="s">
        <v>14</v>
      </c>
    </row>
    <row r="11" spans="2:3" x14ac:dyDescent="0.25">
      <c r="B11" s="1" t="s">
        <v>15</v>
      </c>
      <c r="C11" s="2" t="s">
        <v>16</v>
      </c>
    </row>
    <row r="12" spans="2:3" x14ac:dyDescent="0.25">
      <c r="B12" s="1" t="s">
        <v>17</v>
      </c>
      <c r="C12" s="2" t="s">
        <v>18</v>
      </c>
    </row>
    <row r="13" spans="2:3" x14ac:dyDescent="0.25">
      <c r="B13" s="1" t="s">
        <v>19</v>
      </c>
      <c r="C13" s="2" t="s">
        <v>20</v>
      </c>
    </row>
    <row r="14" spans="2:3" x14ac:dyDescent="0.25">
      <c r="B14" s="1" t="s">
        <v>21</v>
      </c>
      <c r="C14" s="2" t="s">
        <v>22</v>
      </c>
    </row>
    <row r="15" spans="2:3" x14ac:dyDescent="0.25">
      <c r="B15" s="1" t="s">
        <v>23</v>
      </c>
      <c r="C15" s="2" t="s">
        <v>24</v>
      </c>
    </row>
    <row r="16" spans="2:3" ht="24" x14ac:dyDescent="0.25">
      <c r="B16" s="1" t="s">
        <v>25</v>
      </c>
      <c r="C16" s="3" t="s">
        <v>26</v>
      </c>
    </row>
    <row r="17" spans="2:3" x14ac:dyDescent="0.25">
      <c r="B17" s="1" t="s">
        <v>27</v>
      </c>
      <c r="C17" s="2" t="s">
        <v>28</v>
      </c>
    </row>
    <row r="19" spans="2:3" x14ac:dyDescent="0.25">
      <c r="B19" s="48" t="s">
        <v>29</v>
      </c>
      <c r="C19" s="43"/>
    </row>
    <row r="20" spans="2:3" ht="24" x14ac:dyDescent="0.25">
      <c r="B20" s="3" t="s">
        <v>30</v>
      </c>
      <c r="C20" s="2" t="s">
        <v>31</v>
      </c>
    </row>
    <row r="21" spans="2:3" ht="24" x14ac:dyDescent="0.25">
      <c r="B21" s="3" t="s">
        <v>32</v>
      </c>
      <c r="C21" s="2" t="s">
        <v>33</v>
      </c>
    </row>
    <row r="22" spans="2:3" ht="24" x14ac:dyDescent="0.25">
      <c r="B22" s="3" t="s">
        <v>34</v>
      </c>
      <c r="C22" s="2" t="s">
        <v>35</v>
      </c>
    </row>
    <row r="23" spans="2:3" ht="24" x14ac:dyDescent="0.25">
      <c r="B23" s="3" t="s">
        <v>36</v>
      </c>
      <c r="C23" s="2" t="s">
        <v>37</v>
      </c>
    </row>
    <row r="24" spans="2:3" ht="24" x14ac:dyDescent="0.25">
      <c r="B24" s="3" t="s">
        <v>38</v>
      </c>
      <c r="C24" s="2" t="s">
        <v>39</v>
      </c>
    </row>
    <row r="26" spans="2:3" x14ac:dyDescent="0.25">
      <c r="B26" s="48" t="s">
        <v>40</v>
      </c>
      <c r="C26" s="43"/>
    </row>
    <row r="27" spans="2:3" ht="36" x14ac:dyDescent="0.25">
      <c r="B27" s="3" t="s">
        <v>41</v>
      </c>
      <c r="C27" s="2" t="s">
        <v>42</v>
      </c>
    </row>
    <row r="28" spans="2:3" ht="48" x14ac:dyDescent="0.25">
      <c r="B28" s="3" t="s">
        <v>43</v>
      </c>
      <c r="C28" s="2" t="s">
        <v>44</v>
      </c>
    </row>
    <row r="29" spans="2:3" ht="36" x14ac:dyDescent="0.25">
      <c r="B29" s="3" t="s">
        <v>45</v>
      </c>
      <c r="C29" s="2" t="s">
        <v>46</v>
      </c>
    </row>
    <row r="31" spans="2:3" x14ac:dyDescent="0.25">
      <c r="B31" s="48" t="s">
        <v>47</v>
      </c>
      <c r="C31" s="43"/>
    </row>
    <row r="32" spans="2:3" ht="36" x14ac:dyDescent="0.25">
      <c r="B32" s="3" t="s">
        <v>48</v>
      </c>
      <c r="C32" s="2" t="s">
        <v>49</v>
      </c>
    </row>
    <row r="33" spans="2:3" ht="24" x14ac:dyDescent="0.25">
      <c r="B33" s="3" t="s">
        <v>50</v>
      </c>
      <c r="C33" s="2" t="s">
        <v>51</v>
      </c>
    </row>
    <row r="34" spans="2:3" ht="24" x14ac:dyDescent="0.25">
      <c r="B34" s="3" t="s">
        <v>52</v>
      </c>
      <c r="C34" s="2" t="s">
        <v>53</v>
      </c>
    </row>
    <row r="35" spans="2:3" ht="36" x14ac:dyDescent="0.25">
      <c r="B35" s="3" t="s">
        <v>54</v>
      </c>
      <c r="C35" s="2" t="s">
        <v>55</v>
      </c>
    </row>
    <row r="36" spans="2:3" ht="36" x14ac:dyDescent="0.25">
      <c r="B36" s="3" t="s">
        <v>56</v>
      </c>
      <c r="C36" s="2" t="s">
        <v>57</v>
      </c>
    </row>
    <row r="37" spans="2:3" ht="24" x14ac:dyDescent="0.25">
      <c r="B37" s="3" t="s">
        <v>58</v>
      </c>
      <c r="C37" s="2" t="s">
        <v>59</v>
      </c>
    </row>
    <row r="38" spans="2:3" ht="24" x14ac:dyDescent="0.25">
      <c r="B38" s="3" t="s">
        <v>60</v>
      </c>
      <c r="C38" s="2" t="s">
        <v>61</v>
      </c>
    </row>
    <row r="39" spans="2:3" ht="24" x14ac:dyDescent="0.25">
      <c r="B39" s="3" t="s">
        <v>62</v>
      </c>
      <c r="C39" s="2" t="s">
        <v>63</v>
      </c>
    </row>
    <row r="40" spans="2:3" x14ac:dyDescent="0.25">
      <c r="B40" s="3" t="s">
        <v>64</v>
      </c>
      <c r="C40" s="2" t="s">
        <v>65</v>
      </c>
    </row>
    <row r="42" spans="2:3" x14ac:dyDescent="0.25">
      <c r="B42" s="48" t="s">
        <v>66</v>
      </c>
      <c r="C42" s="43"/>
    </row>
    <row r="43" spans="2:3" ht="24" x14ac:dyDescent="0.25">
      <c r="B43" s="1" t="s">
        <v>67</v>
      </c>
      <c r="C43" s="4">
        <f>'ANEXO 3 - CONSOLIDADO'!I24</f>
        <v>6066037</v>
      </c>
    </row>
    <row r="44" spans="2:3" ht="24" x14ac:dyDescent="0.25">
      <c r="B44" s="1" t="s">
        <v>68</v>
      </c>
      <c r="C44" s="4">
        <f>'ANEXO 3 - CONSOLIDADO'!I25</f>
        <v>6365740</v>
      </c>
    </row>
    <row r="45" spans="2:3" ht="24" x14ac:dyDescent="0.25">
      <c r="B45" s="1" t="s">
        <v>69</v>
      </c>
      <c r="C45" s="4">
        <f>'ANEXO 3 - CONSOLIDADO'!I26</f>
        <v>6651557</v>
      </c>
    </row>
    <row r="46" spans="2:3" ht="24" x14ac:dyDescent="0.25">
      <c r="B46" s="5" t="s">
        <v>70</v>
      </c>
      <c r="C46" s="6">
        <f>'ANEXO 4 - PRESUPUESTO OFICIAL'!G10</f>
        <v>122364259</v>
      </c>
    </row>
    <row r="47" spans="2:3" x14ac:dyDescent="0.25">
      <c r="B47" s="3" t="s">
        <v>17</v>
      </c>
      <c r="C47" s="7">
        <v>128658542</v>
      </c>
    </row>
    <row r="48" spans="2:3" x14ac:dyDescent="0.25">
      <c r="B48" s="3" t="s">
        <v>71</v>
      </c>
      <c r="C48" s="8">
        <f>'ANEXO 4 - PRESUPUESTO OFICIAL'!G10-128658542</f>
        <v>-6294283</v>
      </c>
    </row>
  </sheetData>
  <mergeCells count="5">
    <mergeCell ref="B2:C2"/>
    <mergeCell ref="B19:C19"/>
    <mergeCell ref="B31:C31"/>
    <mergeCell ref="B26:C26"/>
    <mergeCell ref="B42:C42"/>
  </mergeCells>
  <pageMargins left="0.75" right="0.75" top="1" bottom="1" header="0.5" footer="0.5"/>
  <pageSetup paperSize="9"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I42"/>
  <sheetViews>
    <sheetView showGridLines="0" workbookViewId="0">
      <pane xSplit="1" ySplit="6" topLeftCell="B33" activePane="bottomRight" state="frozen"/>
      <selection pane="topRight"/>
      <selection pane="bottomLeft"/>
      <selection pane="bottomRight" activeCell="A43" sqref="A43:XFD43"/>
    </sheetView>
  </sheetViews>
  <sheetFormatPr baseColWidth="10" defaultColWidth="9" defaultRowHeight="15" x14ac:dyDescent="0.25"/>
  <cols>
    <col min="1" max="1" width="2" customWidth="1"/>
    <col min="2" max="2" width="5" customWidth="1"/>
    <col min="3" max="3" width="30" customWidth="1"/>
    <col min="4" max="4" width="34" customWidth="1"/>
    <col min="5" max="5" width="11" customWidth="1"/>
    <col min="6" max="8" width="16" customWidth="1"/>
    <col min="9" max="9" width="40" customWidth="1"/>
  </cols>
  <sheetData>
    <row r="2" spans="2:9" x14ac:dyDescent="0.25">
      <c r="B2" s="50" t="s">
        <v>72</v>
      </c>
      <c r="C2" s="51"/>
      <c r="D2" s="51"/>
      <c r="E2" s="51"/>
      <c r="F2" s="51"/>
      <c r="G2" s="51"/>
      <c r="H2" s="51"/>
      <c r="I2" s="51"/>
    </row>
    <row r="3" spans="2:9" ht="30" customHeight="1" x14ac:dyDescent="0.25">
      <c r="B3" s="48" t="s">
        <v>73</v>
      </c>
      <c r="C3" s="43"/>
      <c r="D3" s="60" t="s">
        <v>6</v>
      </c>
      <c r="E3" s="39"/>
      <c r="F3" s="39"/>
      <c r="G3" s="39"/>
      <c r="H3" s="39"/>
      <c r="I3" s="39"/>
    </row>
    <row r="5" spans="2:9" x14ac:dyDescent="0.25">
      <c r="F5" s="55" t="s">
        <v>74</v>
      </c>
      <c r="G5" s="43"/>
      <c r="H5" s="43"/>
    </row>
    <row r="6" spans="2:9" ht="42" customHeight="1" x14ac:dyDescent="0.25">
      <c r="B6" s="10" t="s">
        <v>75</v>
      </c>
      <c r="C6" s="10" t="s">
        <v>76</v>
      </c>
      <c r="D6" s="10" t="s">
        <v>77</v>
      </c>
      <c r="E6" s="10" t="s">
        <v>78</v>
      </c>
      <c r="F6" s="10" t="s">
        <v>79</v>
      </c>
      <c r="G6" s="10" t="s">
        <v>80</v>
      </c>
      <c r="H6" s="10" t="s">
        <v>81</v>
      </c>
      <c r="I6" s="10" t="s">
        <v>82</v>
      </c>
    </row>
    <row r="7" spans="2:9" ht="34.15" customHeight="1" x14ac:dyDescent="0.25">
      <c r="B7" s="11">
        <v>1</v>
      </c>
      <c r="C7" s="2" t="s">
        <v>83</v>
      </c>
      <c r="D7" s="2" t="s">
        <v>84</v>
      </c>
      <c r="E7" s="11" t="s">
        <v>85</v>
      </c>
      <c r="F7" s="12">
        <v>42602000</v>
      </c>
      <c r="G7" s="12">
        <v>42602000</v>
      </c>
      <c r="H7" s="12">
        <v>42602000</v>
      </c>
      <c r="I7" s="13" t="s">
        <v>86</v>
      </c>
    </row>
    <row r="8" spans="2:9" ht="34.15" customHeight="1" x14ac:dyDescent="0.25">
      <c r="B8" s="11">
        <v>2</v>
      </c>
      <c r="C8" s="2" t="s">
        <v>87</v>
      </c>
      <c r="D8" s="2" t="s">
        <v>88</v>
      </c>
      <c r="E8" s="11" t="s">
        <v>89</v>
      </c>
      <c r="F8" s="12">
        <v>8199000</v>
      </c>
      <c r="G8" s="12">
        <v>8625350</v>
      </c>
      <c r="H8" s="12">
        <v>9073800</v>
      </c>
      <c r="I8" s="2" t="s">
        <v>90</v>
      </c>
    </row>
    <row r="9" spans="2:9" ht="24" x14ac:dyDescent="0.25">
      <c r="B9" s="11">
        <v>3</v>
      </c>
      <c r="C9" s="2" t="s">
        <v>91</v>
      </c>
      <c r="D9" s="2" t="s">
        <v>92</v>
      </c>
      <c r="E9" s="11" t="s">
        <v>93</v>
      </c>
      <c r="F9" s="14" t="s">
        <v>94</v>
      </c>
      <c r="G9" s="14" t="s">
        <v>94</v>
      </c>
      <c r="H9" s="14" t="s">
        <v>94</v>
      </c>
      <c r="I9" s="2" t="s">
        <v>95</v>
      </c>
    </row>
    <row r="11" spans="2:9" x14ac:dyDescent="0.25">
      <c r="B11" s="48" t="s">
        <v>96</v>
      </c>
      <c r="C11" s="43"/>
      <c r="D11" s="43"/>
      <c r="E11" s="43"/>
      <c r="F11" s="43"/>
      <c r="G11" s="43"/>
      <c r="H11" s="43"/>
      <c r="I11" s="43"/>
    </row>
    <row r="12" spans="2:9" x14ac:dyDescent="0.25">
      <c r="B12" s="61"/>
      <c r="C12" s="61"/>
      <c r="F12" s="9" t="s">
        <v>97</v>
      </c>
      <c r="G12" s="9" t="s">
        <v>98</v>
      </c>
      <c r="H12" s="9" t="s">
        <v>99</v>
      </c>
    </row>
    <row r="13" spans="2:9" x14ac:dyDescent="0.25">
      <c r="B13" s="57" t="s">
        <v>101</v>
      </c>
      <c r="C13" s="59"/>
      <c r="D13" s="2"/>
      <c r="E13" s="2"/>
      <c r="F13" s="15">
        <f>MIN(F7:F8)</f>
        <v>8199000</v>
      </c>
      <c r="G13" s="15">
        <f>MIN(G7:G8)</f>
        <v>8625350</v>
      </c>
      <c r="H13" s="15">
        <f>MIN(H7:H8)</f>
        <v>9073800</v>
      </c>
      <c r="I13" s="2"/>
    </row>
    <row r="14" spans="2:9" x14ac:dyDescent="0.25">
      <c r="B14" s="57" t="s">
        <v>102</v>
      </c>
      <c r="C14" s="59"/>
      <c r="D14" s="2"/>
      <c r="E14" s="2"/>
      <c r="F14" s="16">
        <f>AVERAGE(F7:F8)</f>
        <v>25400500</v>
      </c>
      <c r="G14" s="16">
        <f>AVERAGE(G7:G8)</f>
        <v>25613675</v>
      </c>
      <c r="H14" s="16">
        <f>AVERAGE(H7:H8)</f>
        <v>25837900</v>
      </c>
      <c r="I14" s="2"/>
    </row>
    <row r="15" spans="2:9" x14ac:dyDescent="0.25">
      <c r="B15" s="57" t="s">
        <v>103</v>
      </c>
      <c r="C15" s="59"/>
      <c r="D15" s="2"/>
      <c r="E15" s="2"/>
      <c r="F15" s="15">
        <f>MAX(F7:F8)</f>
        <v>42602000</v>
      </c>
      <c r="G15" s="15">
        <f>MAX(G7:G8)</f>
        <v>42602000</v>
      </c>
      <c r="H15" s="15">
        <f>MAX(H7:H8)</f>
        <v>42602000</v>
      </c>
      <c r="I15" s="2"/>
    </row>
    <row r="16" spans="2:9" x14ac:dyDescent="0.25">
      <c r="B16" s="57" t="s">
        <v>104</v>
      </c>
      <c r="C16" s="59"/>
      <c r="D16" s="2"/>
      <c r="E16" s="2"/>
      <c r="F16" s="15">
        <f>MEDIAN(F7:F8)</f>
        <v>25400500</v>
      </c>
      <c r="G16" s="15">
        <f>MEDIAN(G7:G8)</f>
        <v>25613675</v>
      </c>
      <c r="H16" s="15">
        <f>MEDIAN(H7:H8)</f>
        <v>25837900</v>
      </c>
      <c r="I16" s="2"/>
    </row>
    <row r="17" spans="2:9" x14ac:dyDescent="0.25">
      <c r="B17" s="57" t="s">
        <v>105</v>
      </c>
      <c r="C17" s="59"/>
      <c r="D17" s="2"/>
      <c r="E17" s="2"/>
      <c r="F17" s="15">
        <f>STDEV(F7:F8)</f>
        <v>24326594.593160793</v>
      </c>
      <c r="G17" s="15">
        <f>STDEV(G7:G8)</f>
        <v>24025119.61700191</v>
      </c>
      <c r="H17" s="15">
        <f>STDEV(H7:H8)</f>
        <v>23708017.580978803</v>
      </c>
      <c r="I17" s="2"/>
    </row>
    <row r="18" spans="2:9" x14ac:dyDescent="0.25">
      <c r="B18" s="57" t="s">
        <v>106</v>
      </c>
      <c r="C18" s="59"/>
      <c r="D18" s="2"/>
      <c r="E18" s="2"/>
      <c r="F18" s="17">
        <f>IFERROR(STDEV(F7:F8)/AVERAGE(F7:F8),"")</f>
        <v>0.95772109183523135</v>
      </c>
      <c r="G18" s="17">
        <f>IFERROR(STDEV(G7:G8)/AVERAGE(G7:G8),"")</f>
        <v>0.93798018507699144</v>
      </c>
      <c r="H18" s="17">
        <f>IFERROR(STDEV(H7:H8)/AVERAGE(H7:H8),"")</f>
        <v>0.91756751055537811</v>
      </c>
      <c r="I18" s="2"/>
    </row>
    <row r="20" spans="2:9" x14ac:dyDescent="0.25">
      <c r="B20" s="48" t="s">
        <v>107</v>
      </c>
      <c r="C20" s="43"/>
      <c r="D20" s="43"/>
      <c r="E20" s="43"/>
      <c r="F20" s="43"/>
      <c r="G20" s="43"/>
      <c r="H20" s="43"/>
      <c r="I20" s="43"/>
    </row>
    <row r="21" spans="2:9" x14ac:dyDescent="0.25">
      <c r="B21" s="9" t="s">
        <v>75</v>
      </c>
      <c r="C21" s="9" t="s">
        <v>108</v>
      </c>
      <c r="D21" s="9" t="s">
        <v>109</v>
      </c>
      <c r="E21" s="9" t="s">
        <v>78</v>
      </c>
      <c r="F21" s="55" t="s">
        <v>110</v>
      </c>
      <c r="G21" s="43"/>
      <c r="H21" s="43"/>
      <c r="I21" s="43"/>
    </row>
    <row r="22" spans="2:9" x14ac:dyDescent="0.25">
      <c r="B22" s="11">
        <v>1</v>
      </c>
      <c r="C22" s="2" t="s">
        <v>111</v>
      </c>
      <c r="D22" s="11" t="s">
        <v>112</v>
      </c>
      <c r="E22" s="11" t="s">
        <v>85</v>
      </c>
      <c r="F22" s="56" t="s">
        <v>113</v>
      </c>
      <c r="G22" s="41"/>
      <c r="H22" s="41"/>
      <c r="I22" s="41"/>
    </row>
    <row r="23" spans="2:9" ht="24" x14ac:dyDescent="0.25">
      <c r="B23" s="11">
        <v>2</v>
      </c>
      <c r="C23" s="2" t="s">
        <v>114</v>
      </c>
      <c r="D23" s="11" t="s">
        <v>115</v>
      </c>
      <c r="E23" s="11" t="s">
        <v>89</v>
      </c>
      <c r="F23" s="56" t="s">
        <v>116</v>
      </c>
      <c r="G23" s="41"/>
      <c r="H23" s="41"/>
      <c r="I23" s="41"/>
    </row>
    <row r="25" spans="2:9" x14ac:dyDescent="0.25">
      <c r="B25" s="48" t="s">
        <v>117</v>
      </c>
      <c r="C25" s="43"/>
      <c r="D25" s="43"/>
      <c r="E25" s="43"/>
      <c r="F25" s="43"/>
      <c r="G25" s="43"/>
      <c r="H25" s="43"/>
      <c r="I25" s="43"/>
    </row>
    <row r="26" spans="2:9" x14ac:dyDescent="0.25">
      <c r="B26" s="57" t="s">
        <v>118</v>
      </c>
      <c r="C26" s="58"/>
      <c r="D26" s="56" t="s">
        <v>119</v>
      </c>
      <c r="E26" s="41"/>
      <c r="F26" s="41"/>
      <c r="G26" s="41"/>
      <c r="H26" s="41"/>
      <c r="I26" s="41"/>
    </row>
    <row r="27" spans="2:9" x14ac:dyDescent="0.25">
      <c r="B27" s="57" t="s">
        <v>120</v>
      </c>
      <c r="C27" s="58"/>
      <c r="D27" s="56" t="s">
        <v>121</v>
      </c>
      <c r="E27" s="41"/>
      <c r="F27" s="41"/>
      <c r="G27" s="41"/>
      <c r="H27" s="41"/>
      <c r="I27" s="41"/>
    </row>
    <row r="28" spans="2:9" x14ac:dyDescent="0.25">
      <c r="B28" s="57" t="s">
        <v>122</v>
      </c>
      <c r="C28" s="58"/>
      <c r="D28" s="56" t="s">
        <v>123</v>
      </c>
      <c r="E28" s="41"/>
      <c r="F28" s="41"/>
      <c r="G28" s="41"/>
      <c r="H28" s="41"/>
      <c r="I28" s="41"/>
    </row>
    <row r="29" spans="2:9" x14ac:dyDescent="0.25">
      <c r="B29" s="57" t="s">
        <v>124</v>
      </c>
      <c r="C29" s="58"/>
      <c r="D29" s="56" t="s">
        <v>125</v>
      </c>
      <c r="E29" s="41"/>
      <c r="F29" s="41"/>
      <c r="G29" s="41"/>
      <c r="H29" s="41"/>
      <c r="I29" s="41"/>
    </row>
    <row r="30" spans="2:9" x14ac:dyDescent="0.25">
      <c r="B30" s="57" t="s">
        <v>126</v>
      </c>
      <c r="C30" s="58"/>
      <c r="D30" s="56" t="s">
        <v>127</v>
      </c>
      <c r="E30" s="41"/>
      <c r="F30" s="41"/>
      <c r="G30" s="41"/>
      <c r="H30" s="41"/>
      <c r="I30" s="41"/>
    </row>
    <row r="31" spans="2:9" x14ac:dyDescent="0.25">
      <c r="B31" s="57" t="s">
        <v>128</v>
      </c>
      <c r="C31" s="58"/>
      <c r="D31" s="56" t="s">
        <v>129</v>
      </c>
      <c r="E31" s="41"/>
      <c r="F31" s="41"/>
      <c r="G31" s="41"/>
      <c r="H31" s="41"/>
      <c r="I31" s="41"/>
    </row>
    <row r="32" spans="2:9" x14ac:dyDescent="0.25">
      <c r="B32" s="57" t="s">
        <v>130</v>
      </c>
      <c r="C32" s="58"/>
      <c r="D32" s="56" t="s">
        <v>131</v>
      </c>
      <c r="E32" s="41"/>
      <c r="F32" s="41"/>
      <c r="G32" s="41"/>
      <c r="H32" s="41"/>
      <c r="I32" s="41"/>
    </row>
    <row r="33" spans="2:9" x14ac:dyDescent="0.25">
      <c r="B33" s="57" t="s">
        <v>132</v>
      </c>
      <c r="C33" s="58"/>
      <c r="D33" s="56" t="s">
        <v>133</v>
      </c>
      <c r="E33" s="41"/>
      <c r="F33" s="41"/>
      <c r="G33" s="41"/>
      <c r="H33" s="41"/>
      <c r="I33" s="41"/>
    </row>
    <row r="34" spans="2:9" x14ac:dyDescent="0.25">
      <c r="B34" s="57" t="s">
        <v>134</v>
      </c>
      <c r="C34" s="58"/>
      <c r="D34" s="56" t="s">
        <v>135</v>
      </c>
      <c r="E34" s="41"/>
      <c r="F34" s="41"/>
      <c r="G34" s="41"/>
      <c r="H34" s="41"/>
      <c r="I34" s="41"/>
    </row>
    <row r="35" spans="2:9" x14ac:dyDescent="0.25">
      <c r="B35" s="57" t="s">
        <v>136</v>
      </c>
      <c r="C35" s="58"/>
      <c r="D35" s="56" t="s">
        <v>137</v>
      </c>
      <c r="E35" s="41"/>
      <c r="F35" s="41"/>
      <c r="G35" s="41"/>
      <c r="H35" s="41"/>
      <c r="I35" s="41"/>
    </row>
    <row r="36" spans="2:9" x14ac:dyDescent="0.25">
      <c r="B36" s="57" t="s">
        <v>138</v>
      </c>
      <c r="C36" s="58"/>
      <c r="D36" s="56" t="s">
        <v>139</v>
      </c>
      <c r="E36" s="41"/>
      <c r="F36" s="41"/>
      <c r="G36" s="41"/>
      <c r="H36" s="41"/>
      <c r="I36" s="41"/>
    </row>
    <row r="38" spans="2:9" x14ac:dyDescent="0.25">
      <c r="B38" s="54" t="s">
        <v>140</v>
      </c>
      <c r="C38" s="39"/>
      <c r="D38" s="39"/>
      <c r="E38" s="39"/>
      <c r="F38" s="39"/>
      <c r="G38" s="39"/>
      <c r="H38" s="39"/>
      <c r="I38" s="39"/>
    </row>
    <row r="39" spans="2:9" ht="22.15" customHeight="1" x14ac:dyDescent="0.25">
      <c r="B39" s="38" t="s">
        <v>141</v>
      </c>
      <c r="C39" s="39"/>
      <c r="D39" s="39"/>
      <c r="E39" s="39"/>
      <c r="F39" s="39"/>
      <c r="G39" s="39"/>
      <c r="H39" s="39"/>
      <c r="I39" s="39"/>
    </row>
    <row r="40" spans="2:9" ht="22.15" customHeight="1" x14ac:dyDescent="0.25">
      <c r="B40" s="38" t="s">
        <v>142</v>
      </c>
      <c r="C40" s="39"/>
      <c r="D40" s="39"/>
      <c r="E40" s="39"/>
      <c r="F40" s="39"/>
      <c r="G40" s="39"/>
      <c r="H40" s="39"/>
      <c r="I40" s="39"/>
    </row>
    <row r="41" spans="2:9" ht="22.15" customHeight="1" x14ac:dyDescent="0.25">
      <c r="B41" s="38" t="s">
        <v>143</v>
      </c>
      <c r="C41" s="39"/>
      <c r="D41" s="39"/>
      <c r="E41" s="39"/>
      <c r="F41" s="39"/>
      <c r="G41" s="39"/>
      <c r="H41" s="39"/>
      <c r="I41" s="39"/>
    </row>
    <row r="42" spans="2:9" ht="22.15" customHeight="1" x14ac:dyDescent="0.25">
      <c r="B42" s="38" t="s">
        <v>144</v>
      </c>
      <c r="C42" s="39"/>
      <c r="D42" s="39"/>
      <c r="E42" s="39"/>
      <c r="F42" s="39"/>
      <c r="G42" s="39"/>
      <c r="H42" s="39"/>
      <c r="I42" s="39"/>
    </row>
  </sheetData>
  <mergeCells count="44">
    <mergeCell ref="D35:I35"/>
    <mergeCell ref="F22:I22"/>
    <mergeCell ref="B34:C34"/>
    <mergeCell ref="B2:I2"/>
    <mergeCell ref="D36:I36"/>
    <mergeCell ref="B41:I41"/>
    <mergeCell ref="B13:C13"/>
    <mergeCell ref="B40:I40"/>
    <mergeCell ref="D3:I3"/>
    <mergeCell ref="B16:C16"/>
    <mergeCell ref="D29:I29"/>
    <mergeCell ref="D32:I32"/>
    <mergeCell ref="B28:C28"/>
    <mergeCell ref="B25:I25"/>
    <mergeCell ref="D28:I28"/>
    <mergeCell ref="B18:C18"/>
    <mergeCell ref="B33:C33"/>
    <mergeCell ref="B36:C36"/>
    <mergeCell ref="B12:C12"/>
    <mergeCell ref="B32:C32"/>
    <mergeCell ref="D30:I30"/>
    <mergeCell ref="D26:I26"/>
    <mergeCell ref="B15:C15"/>
    <mergeCell ref="B42:I42"/>
    <mergeCell ref="B20:I20"/>
    <mergeCell ref="D27:I27"/>
    <mergeCell ref="B38:I38"/>
    <mergeCell ref="B27:C27"/>
    <mergeCell ref="F23:I23"/>
    <mergeCell ref="D34:I34"/>
    <mergeCell ref="B39:I39"/>
    <mergeCell ref="D33:I33"/>
    <mergeCell ref="B29:C29"/>
    <mergeCell ref="B35:C35"/>
    <mergeCell ref="B31:C31"/>
    <mergeCell ref="F5:H5"/>
    <mergeCell ref="D31:I31"/>
    <mergeCell ref="B3:C3"/>
    <mergeCell ref="B30:C30"/>
    <mergeCell ref="B26:C26"/>
    <mergeCell ref="B17:C17"/>
    <mergeCell ref="B11:I11"/>
    <mergeCell ref="F21:I21"/>
    <mergeCell ref="B14:C14"/>
  </mergeCells>
  <pageMargins left="0.75" right="0.75" top="1" bottom="1" header="0.5" footer="0.5"/>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I34"/>
  <sheetViews>
    <sheetView showGridLines="0" workbookViewId="0">
      <pane xSplit="1" ySplit="7" topLeftCell="B8" activePane="bottomRight" state="frozen"/>
      <selection pane="topRight"/>
      <selection pane="bottomLeft"/>
      <selection pane="bottomRight" activeCell="A35" sqref="A35:XFD35"/>
    </sheetView>
  </sheetViews>
  <sheetFormatPr baseColWidth="10" defaultColWidth="9" defaultRowHeight="15" x14ac:dyDescent="0.25"/>
  <cols>
    <col min="1" max="1" width="2" customWidth="1"/>
    <col min="2" max="2" width="10" customWidth="1"/>
    <col min="3" max="3" width="30" customWidth="1"/>
    <col min="4" max="4" width="16" customWidth="1"/>
    <col min="5" max="5" width="14" customWidth="1"/>
    <col min="6" max="6" width="16" customWidth="1"/>
    <col min="7" max="7" width="14" customWidth="1"/>
    <col min="8" max="8" width="16" customWidth="1"/>
    <col min="9" max="9" width="42" customWidth="1"/>
  </cols>
  <sheetData>
    <row r="2" spans="2:9" x14ac:dyDescent="0.25">
      <c r="B2" s="50" t="s">
        <v>145</v>
      </c>
      <c r="C2" s="51"/>
      <c r="D2" s="51"/>
      <c r="E2" s="51"/>
      <c r="F2" s="51"/>
      <c r="G2" s="51"/>
      <c r="H2" s="51"/>
      <c r="I2" s="51"/>
    </row>
    <row r="3" spans="2:9" ht="26.1" customHeight="1" x14ac:dyDescent="0.25">
      <c r="B3" s="40" t="s">
        <v>146</v>
      </c>
      <c r="C3" s="39"/>
      <c r="D3" s="39"/>
      <c r="E3" s="39"/>
      <c r="F3" s="39"/>
      <c r="G3" s="39"/>
      <c r="H3" s="39"/>
      <c r="I3" s="39"/>
    </row>
    <row r="4" spans="2:9" x14ac:dyDescent="0.25">
      <c r="B4" s="57" t="s">
        <v>147</v>
      </c>
      <c r="C4" s="58"/>
      <c r="D4" s="67">
        <v>0.19</v>
      </c>
      <c r="E4" s="41"/>
    </row>
    <row r="6" spans="2:9" x14ac:dyDescent="0.25">
      <c r="B6" s="48" t="s">
        <v>148</v>
      </c>
      <c r="C6" s="43"/>
      <c r="D6" s="43"/>
      <c r="E6" s="43"/>
      <c r="F6" s="43"/>
      <c r="G6" s="43"/>
      <c r="H6" s="43"/>
      <c r="I6" s="43"/>
    </row>
    <row r="7" spans="2:9" ht="34.15" customHeight="1" x14ac:dyDescent="0.25">
      <c r="B7" s="10" t="s">
        <v>149</v>
      </c>
      <c r="C7" s="10" t="s">
        <v>150</v>
      </c>
      <c r="D7" s="10" t="s">
        <v>151</v>
      </c>
      <c r="E7" s="10" t="s">
        <v>152</v>
      </c>
      <c r="F7" s="10" t="s">
        <v>153</v>
      </c>
      <c r="G7" s="10" t="s">
        <v>154</v>
      </c>
      <c r="H7" s="10" t="s">
        <v>155</v>
      </c>
      <c r="I7" s="10" t="s">
        <v>156</v>
      </c>
    </row>
    <row r="8" spans="2:9" x14ac:dyDescent="0.25">
      <c r="B8" s="19">
        <v>2024</v>
      </c>
      <c r="C8" s="18" t="s">
        <v>157</v>
      </c>
      <c r="D8" s="12">
        <v>2950000</v>
      </c>
      <c r="E8" s="15">
        <f>D8*$D$4</f>
        <v>560500</v>
      </c>
      <c r="F8" s="16">
        <f>D8+E8</f>
        <v>3510500</v>
      </c>
      <c r="G8" s="11" t="s">
        <v>158</v>
      </c>
      <c r="H8" s="11" t="s">
        <v>158</v>
      </c>
      <c r="I8" s="18" t="s">
        <v>159</v>
      </c>
    </row>
    <row r="9" spans="2:9" ht="22.5" x14ac:dyDescent="0.25">
      <c r="B9" s="19">
        <v>2025</v>
      </c>
      <c r="C9" s="18" t="s">
        <v>160</v>
      </c>
      <c r="D9" s="12">
        <v>2960000</v>
      </c>
      <c r="E9" s="15">
        <f>D9*$D$4</f>
        <v>562400</v>
      </c>
      <c r="F9" s="16">
        <f>D9+E9</f>
        <v>3522400</v>
      </c>
      <c r="G9" s="20">
        <f>D9/D8-1</f>
        <v>3.3898305084745228E-3</v>
      </c>
      <c r="H9" s="21">
        <f>'ÍNDICES IPC'!C21</f>
        <v>5.1007730535615803E-2</v>
      </c>
      <c r="I9" s="18" t="s">
        <v>161</v>
      </c>
    </row>
    <row r="10" spans="2:9" ht="22.5" x14ac:dyDescent="0.25">
      <c r="B10" s="19">
        <v>2026</v>
      </c>
      <c r="C10" s="18" t="s">
        <v>162</v>
      </c>
      <c r="D10" s="12">
        <v>2989000</v>
      </c>
      <c r="E10" s="15">
        <f>D10*$D$4</f>
        <v>567910</v>
      </c>
      <c r="F10" s="16">
        <f>D10+E10</f>
        <v>3556910</v>
      </c>
      <c r="G10" s="20">
        <f>D10/D9-1</f>
        <v>9.7972972972972805E-3</v>
      </c>
      <c r="H10" s="21">
        <f>'ÍNDICES IPC'!C23</f>
        <v>6.6000000000000003E-2</v>
      </c>
      <c r="I10" s="18" t="s">
        <v>163</v>
      </c>
    </row>
    <row r="11" spans="2:9" x14ac:dyDescent="0.25">
      <c r="B11" s="48" t="s">
        <v>164</v>
      </c>
      <c r="C11" s="43"/>
      <c r="D11" s="43"/>
      <c r="E11" s="43"/>
      <c r="F11" s="64">
        <f>F10/F25-1</f>
        <v>-9.5641221090678741E-2</v>
      </c>
      <c r="G11" s="39"/>
      <c r="H11" s="40" t="s">
        <v>165</v>
      </c>
      <c r="I11" s="39"/>
    </row>
    <row r="13" spans="2:9" x14ac:dyDescent="0.25">
      <c r="B13" s="48" t="s">
        <v>166</v>
      </c>
      <c r="C13" s="43"/>
      <c r="D13" s="43"/>
      <c r="E13" s="43"/>
      <c r="F13" s="43"/>
      <c r="G13" s="43"/>
      <c r="H13" s="43"/>
      <c r="I13" s="43"/>
    </row>
    <row r="14" spans="2:9" x14ac:dyDescent="0.25">
      <c r="B14" s="57" t="s">
        <v>167</v>
      </c>
      <c r="C14" s="59"/>
      <c r="D14" s="69">
        <f>F8</f>
        <v>3510500</v>
      </c>
      <c r="E14" s="56"/>
      <c r="F14" s="40" t="s">
        <v>168</v>
      </c>
      <c r="G14" s="41"/>
      <c r="H14" s="41"/>
      <c r="I14" s="41"/>
    </row>
    <row r="15" spans="2:9" x14ac:dyDescent="0.25">
      <c r="B15" s="57" t="s">
        <v>169</v>
      </c>
      <c r="C15" s="59"/>
      <c r="D15" s="68">
        <f>'ÍNDICES IPC'!C17</f>
        <v>144.88</v>
      </c>
      <c r="E15" s="56"/>
      <c r="F15" s="40" t="s">
        <v>170</v>
      </c>
      <c r="G15" s="41"/>
      <c r="H15" s="41"/>
      <c r="I15" s="41"/>
    </row>
    <row r="16" spans="2:9" x14ac:dyDescent="0.25">
      <c r="B16" s="57" t="s">
        <v>171</v>
      </c>
      <c r="C16" s="59"/>
      <c r="D16" s="68">
        <f>'ÍNDICES IPC'!D17</f>
        <v>152.27000000000001</v>
      </c>
      <c r="E16" s="56"/>
      <c r="F16" s="40" t="s">
        <v>172</v>
      </c>
      <c r="G16" s="41"/>
      <c r="H16" s="41"/>
      <c r="I16" s="41"/>
    </row>
    <row r="17" spans="2:9" x14ac:dyDescent="0.25">
      <c r="B17" s="57" t="s">
        <v>173</v>
      </c>
      <c r="C17" s="59"/>
      <c r="D17" s="63">
        <f>'ÍNDICES IPC'!C21</f>
        <v>5.1007730535615803E-2</v>
      </c>
      <c r="E17" s="56"/>
      <c r="F17" s="40" t="s">
        <v>174</v>
      </c>
      <c r="G17" s="41"/>
      <c r="H17" s="41"/>
      <c r="I17" s="41"/>
    </row>
    <row r="18" spans="2:9" x14ac:dyDescent="0.25">
      <c r="B18" s="57" t="s">
        <v>175</v>
      </c>
      <c r="C18" s="59"/>
      <c r="D18" s="63">
        <f>'ÍNDICES IPC'!C23</f>
        <v>6.6000000000000003E-2</v>
      </c>
      <c r="E18" s="56"/>
      <c r="F18" s="40" t="s">
        <v>176</v>
      </c>
      <c r="G18" s="41"/>
      <c r="H18" s="41"/>
      <c r="I18" s="41"/>
    </row>
    <row r="19" spans="2:9" x14ac:dyDescent="0.25">
      <c r="B19" s="57" t="s">
        <v>177</v>
      </c>
      <c r="C19" s="59"/>
      <c r="D19" s="63">
        <f>'ÍNDICES IPC'!C24</f>
        <v>4.3999999999999997E-2</v>
      </c>
      <c r="E19" s="56"/>
      <c r="F19" s="40" t="s">
        <v>178</v>
      </c>
      <c r="G19" s="41"/>
      <c r="H19" s="41"/>
      <c r="I19" s="41"/>
    </row>
    <row r="20" spans="2:9" x14ac:dyDescent="0.25">
      <c r="B20" s="57" t="s">
        <v>179</v>
      </c>
      <c r="C20" s="59"/>
      <c r="D20" s="63">
        <f>'ÍNDICES IPC'!C25</f>
        <v>0.03</v>
      </c>
      <c r="E20" s="56"/>
      <c r="F20" s="40" t="s">
        <v>180</v>
      </c>
      <c r="G20" s="41"/>
      <c r="H20" s="41"/>
      <c r="I20" s="41"/>
    </row>
    <row r="21" spans="2:9" x14ac:dyDescent="0.25">
      <c r="B21" s="57" t="s">
        <v>181</v>
      </c>
      <c r="C21" s="59"/>
      <c r="D21" s="62">
        <f>(1+D17)*(1+D18)</f>
        <v>1.1203742407509665</v>
      </c>
      <c r="E21" s="56"/>
      <c r="F21" s="40" t="s">
        <v>182</v>
      </c>
      <c r="G21" s="41"/>
      <c r="H21" s="41"/>
      <c r="I21" s="41"/>
    </row>
    <row r="23" spans="2:9" x14ac:dyDescent="0.25">
      <c r="B23" s="48" t="s">
        <v>183</v>
      </c>
      <c r="C23" s="43"/>
      <c r="D23" s="43"/>
      <c r="E23" s="43"/>
      <c r="F23" s="43"/>
      <c r="G23" s="43"/>
      <c r="H23" s="43"/>
      <c r="I23" s="43"/>
    </row>
    <row r="24" spans="2:9" ht="30" customHeight="1" x14ac:dyDescent="0.25">
      <c r="B24" s="10" t="s">
        <v>149</v>
      </c>
      <c r="C24" s="10" t="s">
        <v>184</v>
      </c>
      <c r="D24" s="42" t="s">
        <v>185</v>
      </c>
      <c r="E24" s="43"/>
      <c r="F24" s="42" t="s">
        <v>186</v>
      </c>
      <c r="G24" s="43"/>
      <c r="H24" s="42" t="s">
        <v>187</v>
      </c>
      <c r="I24" s="43"/>
    </row>
    <row r="25" spans="2:9" x14ac:dyDescent="0.25">
      <c r="B25" s="19" t="s">
        <v>188</v>
      </c>
      <c r="C25" s="22" t="s">
        <v>189</v>
      </c>
      <c r="D25" s="66">
        <f>D21</f>
        <v>1.1203742407509665</v>
      </c>
      <c r="E25" s="41"/>
      <c r="F25" s="65">
        <f>ROUND(D14*D21,0)</f>
        <v>3933074</v>
      </c>
      <c r="G25" s="45"/>
      <c r="H25" s="40" t="s">
        <v>190</v>
      </c>
      <c r="I25" s="41"/>
    </row>
    <row r="26" spans="2:9" x14ac:dyDescent="0.25">
      <c r="B26" s="19" t="s">
        <v>191</v>
      </c>
      <c r="C26" s="22" t="s">
        <v>192</v>
      </c>
      <c r="D26" s="66">
        <f>1+D19</f>
        <v>1.044</v>
      </c>
      <c r="E26" s="41"/>
      <c r="F26" s="65">
        <f>ROUND(F25*(1+D19),0)</f>
        <v>4106129</v>
      </c>
      <c r="G26" s="45"/>
      <c r="H26" s="40" t="s">
        <v>193</v>
      </c>
      <c r="I26" s="41"/>
    </row>
    <row r="27" spans="2:9" x14ac:dyDescent="0.25">
      <c r="B27" s="19" t="s">
        <v>194</v>
      </c>
      <c r="C27" s="22" t="s">
        <v>195</v>
      </c>
      <c r="D27" s="66">
        <f>1+D20</f>
        <v>1.03</v>
      </c>
      <c r="E27" s="41"/>
      <c r="F27" s="65">
        <f>ROUND(F26*(1+D20),0)</f>
        <v>4229313</v>
      </c>
      <c r="G27" s="45"/>
      <c r="H27" s="40" t="s">
        <v>196</v>
      </c>
      <c r="I27" s="41"/>
    </row>
    <row r="29" spans="2:9" x14ac:dyDescent="0.25">
      <c r="B29" s="54" t="s">
        <v>140</v>
      </c>
      <c r="C29" s="39"/>
      <c r="D29" s="39"/>
      <c r="E29" s="39"/>
      <c r="F29" s="39"/>
      <c r="G29" s="39"/>
      <c r="H29" s="39"/>
      <c r="I29" s="39"/>
    </row>
    <row r="30" spans="2:9" ht="24" customHeight="1" x14ac:dyDescent="0.25">
      <c r="B30" s="38" t="s">
        <v>197</v>
      </c>
      <c r="C30" s="39"/>
      <c r="D30" s="39"/>
      <c r="E30" s="39"/>
      <c r="F30" s="39"/>
      <c r="G30" s="39"/>
      <c r="H30" s="39"/>
      <c r="I30" s="39"/>
    </row>
    <row r="31" spans="2:9" ht="24" customHeight="1" x14ac:dyDescent="0.25">
      <c r="B31" s="38" t="s">
        <v>198</v>
      </c>
      <c r="C31" s="39"/>
      <c r="D31" s="39"/>
      <c r="E31" s="39"/>
      <c r="F31" s="39"/>
      <c r="G31" s="39"/>
      <c r="H31" s="39"/>
      <c r="I31" s="39"/>
    </row>
    <row r="32" spans="2:9" ht="24" customHeight="1" x14ac:dyDescent="0.25">
      <c r="B32" s="38" t="s">
        <v>199</v>
      </c>
      <c r="C32" s="39"/>
      <c r="D32" s="39"/>
      <c r="E32" s="39"/>
      <c r="F32" s="39"/>
      <c r="G32" s="39"/>
      <c r="H32" s="39"/>
      <c r="I32" s="39"/>
    </row>
    <row r="33" spans="2:9" ht="24" customHeight="1" x14ac:dyDescent="0.25">
      <c r="B33" s="38" t="s">
        <v>200</v>
      </c>
      <c r="C33" s="39"/>
      <c r="D33" s="39"/>
      <c r="E33" s="39"/>
      <c r="F33" s="39"/>
      <c r="G33" s="39"/>
      <c r="H33" s="39"/>
      <c r="I33" s="39"/>
    </row>
    <row r="34" spans="2:9" ht="24" customHeight="1" x14ac:dyDescent="0.25">
      <c r="B34" s="38" t="s">
        <v>201</v>
      </c>
      <c r="C34" s="39"/>
      <c r="D34" s="39"/>
      <c r="E34" s="39"/>
      <c r="F34" s="39"/>
      <c r="G34" s="39"/>
      <c r="H34" s="39"/>
      <c r="I34" s="39"/>
    </row>
  </sheetData>
  <mergeCells count="52">
    <mergeCell ref="B4:C4"/>
    <mergeCell ref="H26:I26"/>
    <mergeCell ref="B32:I32"/>
    <mergeCell ref="B13:I13"/>
    <mergeCell ref="H11:I11"/>
    <mergeCell ref="D16:E16"/>
    <mergeCell ref="B29:I29"/>
    <mergeCell ref="B19:C19"/>
    <mergeCell ref="B34:I34"/>
    <mergeCell ref="B11:E11"/>
    <mergeCell ref="F15:I15"/>
    <mergeCell ref="F21:I21"/>
    <mergeCell ref="D18:E18"/>
    <mergeCell ref="F20:I20"/>
    <mergeCell ref="F27:G27"/>
    <mergeCell ref="H27:I27"/>
    <mergeCell ref="D25:E25"/>
    <mergeCell ref="B33:I33"/>
    <mergeCell ref="D14:E14"/>
    <mergeCell ref="D26:E26"/>
    <mergeCell ref="B2:I2"/>
    <mergeCell ref="D27:E27"/>
    <mergeCell ref="B14:C14"/>
    <mergeCell ref="F16:I16"/>
    <mergeCell ref="B17:C17"/>
    <mergeCell ref="F19:I19"/>
    <mergeCell ref="B23:I23"/>
    <mergeCell ref="D17:E17"/>
    <mergeCell ref="F26:G26"/>
    <mergeCell ref="D4:E4"/>
    <mergeCell ref="F18:I18"/>
    <mergeCell ref="B15:C15"/>
    <mergeCell ref="F17:I17"/>
    <mergeCell ref="D24:E24"/>
    <mergeCell ref="D15:E15"/>
    <mergeCell ref="B6:I6"/>
    <mergeCell ref="B3:I3"/>
    <mergeCell ref="B31:I31"/>
    <mergeCell ref="B18:C18"/>
    <mergeCell ref="D21:E21"/>
    <mergeCell ref="F14:I14"/>
    <mergeCell ref="H25:I25"/>
    <mergeCell ref="B21:C21"/>
    <mergeCell ref="F24:G24"/>
    <mergeCell ref="B30:I30"/>
    <mergeCell ref="H24:I24"/>
    <mergeCell ref="B20:C20"/>
    <mergeCell ref="D20:E20"/>
    <mergeCell ref="F11:G11"/>
    <mergeCell ref="B16:C16"/>
    <mergeCell ref="D19:E19"/>
    <mergeCell ref="F25:G25"/>
  </mergeCells>
  <pageMargins left="0.75" right="0.75" top="1" bottom="1" header="0.5" footer="0.5"/>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P35"/>
  <sheetViews>
    <sheetView showGridLines="0" workbookViewId="0">
      <pane xSplit="5" ySplit="8" topLeftCell="H18" activePane="bottomRight" state="frozen"/>
      <selection pane="topRight"/>
      <selection pane="bottomLeft"/>
      <selection pane="bottomRight"/>
    </sheetView>
  </sheetViews>
  <sheetFormatPr baseColWidth="10" defaultColWidth="9" defaultRowHeight="15" x14ac:dyDescent="0.25"/>
  <cols>
    <col min="1" max="1" width="2" customWidth="1"/>
    <col min="2" max="2" width="8" customWidth="1"/>
    <col min="3" max="3" width="30" customWidth="1"/>
    <col min="4" max="4" width="10" customWidth="1"/>
    <col min="5" max="5" width="18" customWidth="1"/>
    <col min="6" max="8" width="15" customWidth="1"/>
    <col min="9" max="9" width="5" customWidth="1"/>
    <col min="10" max="13" width="15" customWidth="1"/>
    <col min="14" max="14" width="13" customWidth="1"/>
    <col min="15" max="15" width="12" customWidth="1"/>
    <col min="16" max="16" width="16" customWidth="1"/>
  </cols>
  <sheetData>
    <row r="2" spans="2:16" x14ac:dyDescent="0.25">
      <c r="B2" s="50" t="s">
        <v>202</v>
      </c>
      <c r="C2" s="51"/>
      <c r="D2" s="51"/>
      <c r="E2" s="51"/>
      <c r="F2" s="51"/>
      <c r="G2" s="51"/>
      <c r="H2" s="51"/>
      <c r="I2" s="51"/>
      <c r="J2" s="51"/>
      <c r="K2" s="51"/>
      <c r="L2" s="51"/>
      <c r="M2" s="51"/>
      <c r="N2" s="51"/>
      <c r="O2" s="51"/>
      <c r="P2" s="51"/>
    </row>
    <row r="3" spans="2:16" ht="24" customHeight="1" x14ac:dyDescent="0.25">
      <c r="B3" s="47" t="s">
        <v>6</v>
      </c>
      <c r="C3" s="39"/>
      <c r="D3" s="39"/>
      <c r="E3" s="39"/>
      <c r="F3" s="39"/>
      <c r="G3" s="39"/>
      <c r="H3" s="39"/>
      <c r="I3" s="39"/>
      <c r="J3" s="39"/>
      <c r="K3" s="39"/>
      <c r="L3" s="39"/>
      <c r="M3" s="39"/>
      <c r="N3" s="39"/>
      <c r="O3" s="39"/>
      <c r="P3" s="39"/>
    </row>
    <row r="4" spans="2:16" x14ac:dyDescent="0.25">
      <c r="B4" s="57" t="s">
        <v>147</v>
      </c>
      <c r="C4" s="58"/>
      <c r="D4" s="67">
        <f>'ANEXO 2 - HISTÓRICO'!D4</f>
        <v>0.19</v>
      </c>
      <c r="E4" s="41"/>
    </row>
    <row r="6" spans="2:16" x14ac:dyDescent="0.25">
      <c r="B6" s="48" t="s">
        <v>203</v>
      </c>
      <c r="C6" s="43"/>
      <c r="D6" s="43"/>
      <c r="E6" s="43"/>
      <c r="F6" s="43"/>
      <c r="G6" s="43"/>
      <c r="H6" s="43"/>
      <c r="I6" s="43"/>
      <c r="J6" s="43"/>
      <c r="K6" s="43"/>
      <c r="L6" s="43"/>
      <c r="M6" s="43"/>
      <c r="N6" s="43"/>
      <c r="O6" s="43"/>
      <c r="P6" s="43"/>
    </row>
    <row r="7" spans="2:16" x14ac:dyDescent="0.25">
      <c r="F7" s="55" t="s">
        <v>204</v>
      </c>
      <c r="G7" s="43"/>
      <c r="H7" s="43"/>
      <c r="J7" s="55" t="s">
        <v>205</v>
      </c>
      <c r="K7" s="43"/>
      <c r="L7" s="43"/>
      <c r="M7" s="43"/>
      <c r="N7" s="43"/>
    </row>
    <row r="8" spans="2:16" ht="46.15" customHeight="1" x14ac:dyDescent="0.25">
      <c r="B8" s="10" t="s">
        <v>149</v>
      </c>
      <c r="C8" s="10" t="s">
        <v>206</v>
      </c>
      <c r="D8" s="10" t="s">
        <v>207</v>
      </c>
      <c r="E8" s="10" t="s">
        <v>208</v>
      </c>
      <c r="F8" s="23" t="s">
        <v>209</v>
      </c>
      <c r="G8" s="10" t="s">
        <v>210</v>
      </c>
      <c r="H8" s="10" t="s">
        <v>111</v>
      </c>
      <c r="I8" s="10" t="s">
        <v>100</v>
      </c>
      <c r="J8" s="10" t="s">
        <v>102</v>
      </c>
      <c r="K8" s="10" t="s">
        <v>211</v>
      </c>
      <c r="L8" s="10" t="s">
        <v>212</v>
      </c>
      <c r="M8" s="10" t="s">
        <v>213</v>
      </c>
      <c r="N8" s="10" t="s">
        <v>214</v>
      </c>
    </row>
    <row r="9" spans="2:16" ht="33.75" x14ac:dyDescent="0.25">
      <c r="B9" s="19" t="s">
        <v>188</v>
      </c>
      <c r="C9" s="18" t="s">
        <v>215</v>
      </c>
      <c r="D9" s="11" t="s">
        <v>216</v>
      </c>
      <c r="E9" s="24">
        <v>1</v>
      </c>
      <c r="F9" s="25">
        <f>'ANEXO 2 - HISTÓRICO'!F25</f>
        <v>3933074</v>
      </c>
      <c r="G9" s="26">
        <f>'ANEXO 1 - COTIZACIONES'!F8</f>
        <v>8199000</v>
      </c>
      <c r="H9" s="26">
        <f>'ANEXO 1 - COTIZACIONES'!F7</f>
        <v>42602000</v>
      </c>
      <c r="I9" s="11">
        <f>COUNT(F9:H9)</f>
        <v>3</v>
      </c>
      <c r="J9" s="16">
        <f>AVERAGE(F9:H9)</f>
        <v>18244691.333333332</v>
      </c>
      <c r="K9" s="16">
        <f>STDEV(F9:H9)</f>
        <v>21201613.034668501</v>
      </c>
      <c r="L9" s="27">
        <f>J9+K9</f>
        <v>39446304.368001834</v>
      </c>
      <c r="M9" s="27">
        <f>J9-K9</f>
        <v>-2956921.7013351694</v>
      </c>
      <c r="N9" s="19">
        <f>COUNTIF(F9:H9,"&gt;"&amp;L9)</f>
        <v>1</v>
      </c>
      <c r="O9" s="28"/>
      <c r="P9" s="28"/>
    </row>
    <row r="10" spans="2:16" ht="33.75" x14ac:dyDescent="0.25">
      <c r="B10" s="19" t="s">
        <v>191</v>
      </c>
      <c r="C10" s="18" t="s">
        <v>215</v>
      </c>
      <c r="D10" s="11" t="s">
        <v>216</v>
      </c>
      <c r="E10" s="24">
        <v>12</v>
      </c>
      <c r="F10" s="25">
        <f>'ANEXO 2 - HISTÓRICO'!F26</f>
        <v>4106129</v>
      </c>
      <c r="G10" s="26">
        <f>'ANEXO 1 - COTIZACIONES'!G8</f>
        <v>8625350</v>
      </c>
      <c r="H10" s="26">
        <f>'ANEXO 1 - COTIZACIONES'!G7</f>
        <v>42602000</v>
      </c>
      <c r="I10" s="11">
        <f>COUNT(F10:H10)</f>
        <v>3</v>
      </c>
      <c r="J10" s="16">
        <f>AVERAGE(F10:H10)</f>
        <v>18444493</v>
      </c>
      <c r="K10" s="16">
        <f>STDEV(F10:H10)</f>
        <v>21042687.517353788</v>
      </c>
      <c r="L10" s="27">
        <f>J10+K10</f>
        <v>39487180.517353788</v>
      </c>
      <c r="M10" s="27">
        <f>J10-K10</f>
        <v>-2598194.517353788</v>
      </c>
      <c r="N10" s="19">
        <f>COUNTIF(F10:H10,"&gt;"&amp;L10)</f>
        <v>1</v>
      </c>
      <c r="O10" s="28"/>
      <c r="P10" s="28"/>
    </row>
    <row r="11" spans="2:16" ht="33.75" x14ac:dyDescent="0.25">
      <c r="B11" s="19" t="s">
        <v>194</v>
      </c>
      <c r="C11" s="18" t="s">
        <v>215</v>
      </c>
      <c r="D11" s="11" t="s">
        <v>216</v>
      </c>
      <c r="E11" s="24">
        <v>6</v>
      </c>
      <c r="F11" s="25">
        <f>'ANEXO 2 - HISTÓRICO'!F27</f>
        <v>4229313</v>
      </c>
      <c r="G11" s="26">
        <f>'ANEXO 1 - COTIZACIONES'!H8</f>
        <v>9073800</v>
      </c>
      <c r="H11" s="26">
        <f>'ANEXO 1 - COTIZACIONES'!H7</f>
        <v>42602000</v>
      </c>
      <c r="I11" s="11">
        <f>COUNT(F11:H11)</f>
        <v>3</v>
      </c>
      <c r="J11" s="16">
        <f>AVERAGE(F11:H11)</f>
        <v>18635037.666666668</v>
      </c>
      <c r="K11" s="16">
        <f>STDEV(F11:H11)</f>
        <v>20896859.242212843</v>
      </c>
      <c r="L11" s="27">
        <f>J11+K11</f>
        <v>39531896.908879511</v>
      </c>
      <c r="M11" s="27">
        <f>J11-K11</f>
        <v>-2261821.5755461752</v>
      </c>
      <c r="N11" s="19">
        <f>COUNTIF(F11:H11,"&gt;"&amp;L11)</f>
        <v>1</v>
      </c>
      <c r="O11" s="28"/>
      <c r="P11" s="28"/>
    </row>
    <row r="13" spans="2:16" x14ac:dyDescent="0.25">
      <c r="B13" s="73" t="s">
        <v>217</v>
      </c>
      <c r="C13" s="39"/>
      <c r="D13" s="39"/>
      <c r="E13" s="39"/>
      <c r="F13" s="39"/>
      <c r="G13" s="39"/>
      <c r="H13" s="39"/>
      <c r="I13" s="39"/>
      <c r="J13" s="39"/>
      <c r="K13" s="39"/>
      <c r="L13" s="39"/>
      <c r="M13" s="39"/>
      <c r="N13" s="39"/>
      <c r="O13" s="39"/>
      <c r="P13" s="39"/>
    </row>
    <row r="15" spans="2:16" x14ac:dyDescent="0.25">
      <c r="B15" s="48" t="s">
        <v>218</v>
      </c>
      <c r="C15" s="43"/>
      <c r="D15" s="43"/>
      <c r="E15" s="43"/>
      <c r="F15" s="43"/>
      <c r="G15" s="43"/>
      <c r="H15" s="43"/>
      <c r="I15" s="43"/>
      <c r="J15" s="43"/>
      <c r="K15" s="43"/>
      <c r="L15" s="43"/>
      <c r="M15" s="43"/>
      <c r="N15" s="43"/>
      <c r="O15" s="43"/>
      <c r="P15" s="43"/>
    </row>
    <row r="16" spans="2:16" x14ac:dyDescent="0.25">
      <c r="F16" s="55" t="s">
        <v>219</v>
      </c>
      <c r="G16" s="43"/>
      <c r="H16" s="43"/>
      <c r="J16" s="55" t="s">
        <v>220</v>
      </c>
      <c r="K16" s="43"/>
      <c r="L16" s="43"/>
      <c r="M16" s="43"/>
      <c r="N16" s="55" t="s">
        <v>221</v>
      </c>
      <c r="O16" s="43"/>
      <c r="P16" s="43"/>
    </row>
    <row r="17" spans="2:16" ht="46.15" customHeight="1" x14ac:dyDescent="0.25">
      <c r="B17" s="10" t="s">
        <v>149</v>
      </c>
      <c r="C17" s="10" t="s">
        <v>206</v>
      </c>
      <c r="D17" s="10" t="s">
        <v>207</v>
      </c>
      <c r="E17" s="10" t="s">
        <v>208</v>
      </c>
      <c r="F17" s="10" t="s">
        <v>209</v>
      </c>
      <c r="G17" s="10" t="s">
        <v>210</v>
      </c>
      <c r="H17" s="10" t="s">
        <v>111</v>
      </c>
      <c r="I17" s="10" t="s">
        <v>100</v>
      </c>
      <c r="J17" s="10" t="s">
        <v>222</v>
      </c>
      <c r="K17" s="10" t="s">
        <v>211</v>
      </c>
      <c r="L17" s="10" t="s">
        <v>212</v>
      </c>
      <c r="M17" s="10" t="s">
        <v>213</v>
      </c>
      <c r="N17" s="10" t="s">
        <v>223</v>
      </c>
      <c r="O17" s="10" t="s">
        <v>224</v>
      </c>
      <c r="P17" s="10" t="s">
        <v>225</v>
      </c>
    </row>
    <row r="18" spans="2:16" ht="33.75" x14ac:dyDescent="0.25">
      <c r="B18" s="19" t="s">
        <v>188</v>
      </c>
      <c r="C18" s="18" t="s">
        <v>215</v>
      </c>
      <c r="D18" s="11" t="s">
        <v>216</v>
      </c>
      <c r="E18" s="29">
        <f>E9</f>
        <v>1</v>
      </c>
      <c r="F18" s="15">
        <f>IF(F9&gt;$L$9,"EXCLUIDO",F9)</f>
        <v>3933074</v>
      </c>
      <c r="G18" s="15">
        <f>IF(G9&gt;$L$9,"EXCLUIDO",G9)</f>
        <v>8199000</v>
      </c>
      <c r="H18" s="15" t="str">
        <f>IF(H9&gt;$L$9,"EXCLUIDO",H9)</f>
        <v>EXCLUIDO</v>
      </c>
      <c r="I18" s="11">
        <f>COUNT(F18:H18)</f>
        <v>2</v>
      </c>
      <c r="J18" s="16">
        <f>AVERAGE(F18:H18)</f>
        <v>6066037</v>
      </c>
      <c r="K18" s="16">
        <f>STDEV(F18:H18)</f>
        <v>3016465.202640004</v>
      </c>
      <c r="L18" s="15">
        <f>J18+K18</f>
        <v>9082502.2026400045</v>
      </c>
      <c r="M18" s="27">
        <f>J18-K18</f>
        <v>3049571.797359996</v>
      </c>
      <c r="N18" s="16">
        <f>MIN(F18:H18)</f>
        <v>3933074</v>
      </c>
      <c r="O18" s="19" t="str">
        <f>IF(N18&gt;=M18,"SÍ","NO")</f>
        <v>SÍ</v>
      </c>
      <c r="P18" s="30">
        <f>ROUND(J18,0)</f>
        <v>6066037</v>
      </c>
    </row>
    <row r="19" spans="2:16" ht="33.75" x14ac:dyDescent="0.25">
      <c r="B19" s="19" t="s">
        <v>191</v>
      </c>
      <c r="C19" s="18" t="s">
        <v>215</v>
      </c>
      <c r="D19" s="11" t="s">
        <v>216</v>
      </c>
      <c r="E19" s="29">
        <f>E10</f>
        <v>12</v>
      </c>
      <c r="F19" s="15">
        <f>IF(F10&gt;$L$10,"EXCLUIDO",F10)</f>
        <v>4106129</v>
      </c>
      <c r="G19" s="15">
        <f>IF(G10&gt;$L$10,"EXCLUIDO",G10)</f>
        <v>8625350</v>
      </c>
      <c r="H19" s="15" t="str">
        <f>IF(H10&gt;$L$10,"EXCLUIDO",H10)</f>
        <v>EXCLUIDO</v>
      </c>
      <c r="I19" s="11">
        <f>COUNT(F19:H19)</f>
        <v>2</v>
      </c>
      <c r="J19" s="16">
        <f>AVERAGE(F19:H19)</f>
        <v>6365739.5</v>
      </c>
      <c r="K19" s="16">
        <f>STDEV(F19:H19)</f>
        <v>3195571.8147806507</v>
      </c>
      <c r="L19" s="15">
        <f>J19+K19</f>
        <v>9561311.3147806507</v>
      </c>
      <c r="M19" s="27">
        <f>J19-K19</f>
        <v>3170167.6852193493</v>
      </c>
      <c r="N19" s="16">
        <f>MIN(F19:H19)</f>
        <v>4106129</v>
      </c>
      <c r="O19" s="19" t="str">
        <f>IF(N19&gt;=M19,"SÍ","NO")</f>
        <v>SÍ</v>
      </c>
      <c r="P19" s="30">
        <f>ROUND(J19,0)</f>
        <v>6365740</v>
      </c>
    </row>
    <row r="20" spans="2:16" ht="33.75" x14ac:dyDescent="0.25">
      <c r="B20" s="19" t="s">
        <v>194</v>
      </c>
      <c r="C20" s="18" t="s">
        <v>215</v>
      </c>
      <c r="D20" s="11" t="s">
        <v>216</v>
      </c>
      <c r="E20" s="29">
        <f>E11</f>
        <v>6</v>
      </c>
      <c r="F20" s="15">
        <f>IF(F11&gt;$L$11,"EXCLUIDO",F11)</f>
        <v>4229313</v>
      </c>
      <c r="G20" s="15">
        <f>IF(G11&gt;$L$11,"EXCLUIDO",G11)</f>
        <v>9073800</v>
      </c>
      <c r="H20" s="15" t="str">
        <f>IF(H11&gt;$L$11,"EXCLUIDO",H11)</f>
        <v>EXCLUIDO</v>
      </c>
      <c r="I20" s="11">
        <f>COUNT(F20:H20)</f>
        <v>2</v>
      </c>
      <c r="J20" s="16">
        <f>AVERAGE(F20:H20)</f>
        <v>6651556.5</v>
      </c>
      <c r="K20" s="16">
        <f>STDEV(F20:H20)</f>
        <v>3425569.6090700743</v>
      </c>
      <c r="L20" s="15">
        <f>J20+K20</f>
        <v>10077126.109070074</v>
      </c>
      <c r="M20" s="27">
        <f>J20-K20</f>
        <v>3225986.8909299257</v>
      </c>
      <c r="N20" s="16">
        <f>MIN(F20:H20)</f>
        <v>4229313</v>
      </c>
      <c r="O20" s="19" t="str">
        <f>IF(N20&gt;=M20,"SÍ","NO")</f>
        <v>SÍ</v>
      </c>
      <c r="P20" s="30">
        <f>ROUND(J20,0)</f>
        <v>6651557</v>
      </c>
    </row>
    <row r="22" spans="2:16" x14ac:dyDescent="0.25">
      <c r="B22" s="48" t="s">
        <v>226</v>
      </c>
      <c r="C22" s="43"/>
      <c r="D22" s="43"/>
      <c r="E22" s="43"/>
      <c r="F22" s="43"/>
      <c r="G22" s="43"/>
      <c r="H22" s="43"/>
      <c r="I22" s="43"/>
      <c r="J22" s="43"/>
      <c r="K22" s="43"/>
      <c r="L22" s="43"/>
      <c r="M22" s="43"/>
      <c r="N22" s="43"/>
      <c r="O22" s="43"/>
      <c r="P22" s="43"/>
    </row>
    <row r="23" spans="2:16" ht="34.15" customHeight="1" x14ac:dyDescent="0.25">
      <c r="B23" s="10" t="s">
        <v>149</v>
      </c>
      <c r="C23" s="42" t="s">
        <v>227</v>
      </c>
      <c r="D23" s="43"/>
      <c r="E23" s="42" t="s">
        <v>228</v>
      </c>
      <c r="F23" s="43"/>
      <c r="G23" s="42" t="s">
        <v>229</v>
      </c>
      <c r="H23" s="43"/>
      <c r="I23" s="42" t="s">
        <v>230</v>
      </c>
      <c r="J23" s="43"/>
      <c r="K23" s="42" t="s">
        <v>231</v>
      </c>
      <c r="L23" s="43"/>
      <c r="M23" s="10" t="s">
        <v>208</v>
      </c>
      <c r="N23" s="42" t="s">
        <v>232</v>
      </c>
      <c r="O23" s="43"/>
      <c r="P23" s="43"/>
    </row>
    <row r="24" spans="2:16" x14ac:dyDescent="0.25">
      <c r="B24" s="19" t="s">
        <v>188</v>
      </c>
      <c r="C24" s="40" t="s">
        <v>233</v>
      </c>
      <c r="D24" s="41"/>
      <c r="E24" s="71">
        <f>F18</f>
        <v>3933074</v>
      </c>
      <c r="F24" s="41"/>
      <c r="G24" s="71">
        <f>G18</f>
        <v>8199000</v>
      </c>
      <c r="H24" s="41"/>
      <c r="I24" s="65">
        <f>P18</f>
        <v>6066037</v>
      </c>
      <c r="J24" s="45"/>
      <c r="K24" s="72" t="s">
        <v>158</v>
      </c>
      <c r="L24" s="41"/>
      <c r="M24" s="29">
        <f>E18</f>
        <v>1</v>
      </c>
      <c r="N24" s="69">
        <f>I24*M24</f>
        <v>6066037</v>
      </c>
      <c r="O24" s="41"/>
      <c r="P24" s="41"/>
    </row>
    <row r="25" spans="2:16" x14ac:dyDescent="0.25">
      <c r="B25" s="19" t="s">
        <v>191</v>
      </c>
      <c r="C25" s="40" t="s">
        <v>234</v>
      </c>
      <c r="D25" s="41"/>
      <c r="E25" s="71">
        <f>F19</f>
        <v>4106129</v>
      </c>
      <c r="F25" s="41"/>
      <c r="G25" s="71">
        <f>G19</f>
        <v>8625350</v>
      </c>
      <c r="H25" s="41"/>
      <c r="I25" s="65">
        <f>P19</f>
        <v>6365740</v>
      </c>
      <c r="J25" s="45"/>
      <c r="K25" s="70">
        <f>I25/I24-1</f>
        <v>4.9406721389928965E-2</v>
      </c>
      <c r="L25" s="41"/>
      <c r="M25" s="29">
        <f>E19</f>
        <v>12</v>
      </c>
      <c r="N25" s="69">
        <f>I25*M25</f>
        <v>76388880</v>
      </c>
      <c r="O25" s="41"/>
      <c r="P25" s="41"/>
    </row>
    <row r="26" spans="2:16" x14ac:dyDescent="0.25">
      <c r="B26" s="19" t="s">
        <v>194</v>
      </c>
      <c r="C26" s="40" t="s">
        <v>235</v>
      </c>
      <c r="D26" s="41"/>
      <c r="E26" s="71">
        <f>F20</f>
        <v>4229313</v>
      </c>
      <c r="F26" s="41"/>
      <c r="G26" s="71">
        <f>G20</f>
        <v>9073800</v>
      </c>
      <c r="H26" s="41"/>
      <c r="I26" s="65">
        <f>P20</f>
        <v>6651557</v>
      </c>
      <c r="J26" s="45"/>
      <c r="K26" s="70">
        <f>I26/I25-1</f>
        <v>4.4899257588277175E-2</v>
      </c>
      <c r="L26" s="41"/>
      <c r="M26" s="29">
        <f>E20</f>
        <v>6</v>
      </c>
      <c r="N26" s="69">
        <f>I26*M26</f>
        <v>39909342</v>
      </c>
      <c r="O26" s="41"/>
      <c r="P26" s="41"/>
    </row>
    <row r="27" spans="2:16" ht="28.15" customHeight="1" x14ac:dyDescent="0.25">
      <c r="B27" s="52" t="s">
        <v>236</v>
      </c>
      <c r="C27" s="45"/>
      <c r="D27" s="45"/>
      <c r="E27" s="45"/>
      <c r="F27" s="45"/>
      <c r="G27" s="45"/>
      <c r="H27" s="45"/>
      <c r="I27" s="45"/>
      <c r="J27" s="45"/>
      <c r="K27" s="45"/>
      <c r="L27" s="45"/>
      <c r="M27" s="31">
        <f>SUM(M24:M26)</f>
        <v>19</v>
      </c>
      <c r="N27" s="44">
        <f>SUM(N24:N26)</f>
        <v>122364259</v>
      </c>
      <c r="O27" s="45"/>
      <c r="P27" s="45"/>
    </row>
    <row r="29" spans="2:16" x14ac:dyDescent="0.25">
      <c r="B29" s="54" t="s">
        <v>140</v>
      </c>
      <c r="C29" s="39"/>
      <c r="D29" s="39"/>
      <c r="E29" s="39"/>
      <c r="F29" s="39"/>
      <c r="G29" s="39"/>
      <c r="H29" s="39"/>
      <c r="I29" s="39"/>
      <c r="J29" s="39"/>
      <c r="K29" s="39"/>
      <c r="L29" s="39"/>
      <c r="M29" s="39"/>
      <c r="N29" s="39"/>
      <c r="O29" s="39"/>
      <c r="P29" s="39"/>
    </row>
    <row r="30" spans="2:16" ht="24" customHeight="1" x14ac:dyDescent="0.25">
      <c r="B30" s="38" t="s">
        <v>237</v>
      </c>
      <c r="C30" s="39"/>
      <c r="D30" s="39"/>
      <c r="E30" s="39"/>
      <c r="F30" s="39"/>
      <c r="G30" s="39"/>
      <c r="H30" s="39"/>
      <c r="I30" s="39"/>
      <c r="J30" s="39"/>
      <c r="K30" s="39"/>
      <c r="L30" s="39"/>
      <c r="M30" s="39"/>
      <c r="N30" s="39"/>
      <c r="O30" s="39"/>
      <c r="P30" s="39"/>
    </row>
    <row r="31" spans="2:16" ht="24" customHeight="1" x14ac:dyDescent="0.25">
      <c r="B31" s="38" t="s">
        <v>238</v>
      </c>
      <c r="C31" s="39"/>
      <c r="D31" s="39"/>
      <c r="E31" s="39"/>
      <c r="F31" s="39"/>
      <c r="G31" s="39"/>
      <c r="H31" s="39"/>
      <c r="I31" s="39"/>
      <c r="J31" s="39"/>
      <c r="K31" s="39"/>
      <c r="L31" s="39"/>
      <c r="M31" s="39"/>
      <c r="N31" s="39"/>
      <c r="O31" s="39"/>
      <c r="P31" s="39"/>
    </row>
    <row r="32" spans="2:16" ht="24" customHeight="1" x14ac:dyDescent="0.25">
      <c r="B32" s="38" t="s">
        <v>239</v>
      </c>
      <c r="C32" s="39"/>
      <c r="D32" s="39"/>
      <c r="E32" s="39"/>
      <c r="F32" s="39"/>
      <c r="G32" s="39"/>
      <c r="H32" s="39"/>
      <c r="I32" s="39"/>
      <c r="J32" s="39"/>
      <c r="K32" s="39"/>
      <c r="L32" s="39"/>
      <c r="M32" s="39"/>
      <c r="N32" s="39"/>
      <c r="O32" s="39"/>
      <c r="P32" s="39"/>
    </row>
    <row r="33" spans="2:16" ht="24" customHeight="1" x14ac:dyDescent="0.25">
      <c r="B33" s="38" t="s">
        <v>240</v>
      </c>
      <c r="C33" s="39"/>
      <c r="D33" s="39"/>
      <c r="E33" s="39"/>
      <c r="F33" s="39"/>
      <c r="G33" s="39"/>
      <c r="H33" s="39"/>
      <c r="I33" s="39"/>
      <c r="J33" s="39"/>
      <c r="K33" s="39"/>
      <c r="L33" s="39"/>
      <c r="M33" s="39"/>
      <c r="N33" s="39"/>
      <c r="O33" s="39"/>
      <c r="P33" s="39"/>
    </row>
    <row r="34" spans="2:16" ht="24" customHeight="1" x14ac:dyDescent="0.25">
      <c r="B34" s="38" t="s">
        <v>241</v>
      </c>
      <c r="C34" s="39"/>
      <c r="D34" s="39"/>
      <c r="E34" s="39"/>
      <c r="F34" s="39"/>
      <c r="G34" s="39"/>
      <c r="H34" s="39"/>
      <c r="I34" s="39"/>
      <c r="J34" s="39"/>
      <c r="K34" s="39"/>
      <c r="L34" s="39"/>
      <c r="M34" s="39"/>
      <c r="N34" s="39"/>
      <c r="O34" s="39"/>
      <c r="P34" s="39"/>
    </row>
    <row r="35" spans="2:16" ht="24" customHeight="1" x14ac:dyDescent="0.25">
      <c r="B35" s="38" t="s">
        <v>242</v>
      </c>
      <c r="C35" s="39"/>
      <c r="D35" s="39"/>
      <c r="E35" s="39"/>
      <c r="F35" s="39"/>
      <c r="G35" s="39"/>
      <c r="H35" s="39"/>
      <c r="I35" s="39"/>
      <c r="J35" s="39"/>
      <c r="K35" s="39"/>
      <c r="L35" s="39"/>
      <c r="M35" s="39"/>
      <c r="N35" s="39"/>
      <c r="O35" s="39"/>
      <c r="P35" s="39"/>
    </row>
  </sheetData>
  <mergeCells count="46">
    <mergeCell ref="B35:P35"/>
    <mergeCell ref="E26:F26"/>
    <mergeCell ref="C23:D23"/>
    <mergeCell ref="N26:P26"/>
    <mergeCell ref="G26:H26"/>
    <mergeCell ref="N25:P25"/>
    <mergeCell ref="E25:F25"/>
    <mergeCell ref="G25:H25"/>
    <mergeCell ref="B31:P31"/>
    <mergeCell ref="B29:P29"/>
    <mergeCell ref="B34:P34"/>
    <mergeCell ref="C25:D25"/>
    <mergeCell ref="I25:J25"/>
    <mergeCell ref="B30:P30"/>
    <mergeCell ref="B33:P33"/>
    <mergeCell ref="N27:P27"/>
    <mergeCell ref="B32:P32"/>
    <mergeCell ref="C26:D26"/>
    <mergeCell ref="B13:P13"/>
    <mergeCell ref="I26:J26"/>
    <mergeCell ref="B27:L27"/>
    <mergeCell ref="K26:L26"/>
    <mergeCell ref="B15:P15"/>
    <mergeCell ref="N24:P24"/>
    <mergeCell ref="G24:H24"/>
    <mergeCell ref="I24:J24"/>
    <mergeCell ref="I23:J23"/>
    <mergeCell ref="K23:L23"/>
    <mergeCell ref="F16:H16"/>
    <mergeCell ref="N16:P16"/>
    <mergeCell ref="B22:P22"/>
    <mergeCell ref="J16:M16"/>
    <mergeCell ref="K25:L25"/>
    <mergeCell ref="B2:P2"/>
    <mergeCell ref="C24:D24"/>
    <mergeCell ref="E24:F24"/>
    <mergeCell ref="K24:L24"/>
    <mergeCell ref="E23:F23"/>
    <mergeCell ref="N23:P23"/>
    <mergeCell ref="G23:H23"/>
    <mergeCell ref="B6:P6"/>
    <mergeCell ref="J7:N7"/>
    <mergeCell ref="D4:E4"/>
    <mergeCell ref="B3:P3"/>
    <mergeCell ref="F7:H7"/>
    <mergeCell ref="B4:C4"/>
  </mergeCells>
  <conditionalFormatting sqref="F9:H11">
    <cfRule type="expression" dxfId="0" priority="1">
      <formula>AND(ISNUMBER(F9),F9&gt;$L9)</formula>
    </cfRule>
  </conditionalFormatting>
  <pageMargins left="0.75" right="0.75" top="1" bottom="1" header="0.5" footer="0.5"/>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J24"/>
  <sheetViews>
    <sheetView showGridLines="0" tabSelected="1" workbookViewId="0">
      <pane xSplit="1" ySplit="6" topLeftCell="B7" activePane="bottomRight" state="frozen"/>
      <selection pane="topRight"/>
      <selection pane="bottomLeft"/>
      <selection pane="bottomRight" activeCell="B23" sqref="B23:J23"/>
    </sheetView>
  </sheetViews>
  <sheetFormatPr baseColWidth="10" defaultColWidth="9" defaultRowHeight="15" x14ac:dyDescent="0.25"/>
  <cols>
    <col min="1" max="1" width="2" customWidth="1"/>
    <col min="2" max="2" width="10" customWidth="1"/>
    <col min="3" max="3" width="34" customWidth="1"/>
    <col min="4" max="4" width="13" customWidth="1"/>
    <col min="5" max="5" width="17" customWidth="1"/>
    <col min="6" max="6" width="30" customWidth="1"/>
    <col min="7" max="7" width="18" customWidth="1"/>
    <col min="8" max="10" width="17" customWidth="1"/>
  </cols>
  <sheetData>
    <row r="2" spans="2:10" x14ac:dyDescent="0.25">
      <c r="B2" s="50" t="s">
        <v>243</v>
      </c>
      <c r="C2" s="51"/>
      <c r="D2" s="51"/>
      <c r="E2" s="51"/>
      <c r="F2" s="51"/>
      <c r="G2" s="51"/>
      <c r="H2" s="51"/>
      <c r="I2" s="51"/>
      <c r="J2" s="51"/>
    </row>
    <row r="3" spans="2:10" ht="26.1" customHeight="1" x14ac:dyDescent="0.25">
      <c r="B3" s="48" t="s">
        <v>244</v>
      </c>
      <c r="C3" s="43"/>
      <c r="D3" s="47" t="s">
        <v>6</v>
      </c>
      <c r="E3" s="39"/>
      <c r="F3" s="39"/>
      <c r="G3" s="39"/>
      <c r="H3" s="39"/>
      <c r="I3" s="39"/>
      <c r="J3" s="39"/>
    </row>
    <row r="5" spans="2:10" x14ac:dyDescent="0.25">
      <c r="B5" s="48" t="s">
        <v>245</v>
      </c>
      <c r="C5" s="43"/>
      <c r="D5" s="43"/>
      <c r="E5" s="43"/>
      <c r="F5" s="43"/>
      <c r="G5" s="43"/>
      <c r="H5" s="43"/>
      <c r="I5" s="43"/>
      <c r="J5" s="43"/>
    </row>
    <row r="6" spans="2:10" ht="30" customHeight="1" x14ac:dyDescent="0.25">
      <c r="B6" s="10" t="s">
        <v>149</v>
      </c>
      <c r="C6" s="10" t="s">
        <v>227</v>
      </c>
      <c r="D6" s="10" t="s">
        <v>208</v>
      </c>
      <c r="E6" s="10" t="s">
        <v>153</v>
      </c>
      <c r="F6" s="10" t="s">
        <v>246</v>
      </c>
      <c r="G6" s="10" t="s">
        <v>247</v>
      </c>
      <c r="H6" s="42" t="s">
        <v>248</v>
      </c>
      <c r="I6" s="43"/>
      <c r="J6" s="43"/>
    </row>
    <row r="7" spans="2:10" ht="22.5" x14ac:dyDescent="0.25">
      <c r="B7" s="19" t="s">
        <v>188</v>
      </c>
      <c r="C7" s="18" t="s">
        <v>233</v>
      </c>
      <c r="D7" s="29">
        <f>'ANEXO 3 - CONSOLIDADO'!M24</f>
        <v>1</v>
      </c>
      <c r="E7" s="26">
        <f>'ANEXO 3 - CONSOLIDADO'!I24</f>
        <v>6066037</v>
      </c>
      <c r="F7" s="18" t="s">
        <v>249</v>
      </c>
      <c r="G7" s="16">
        <f>D7*E7</f>
        <v>6066037</v>
      </c>
      <c r="H7" s="49">
        <f>G7/$G$10</f>
        <v>4.9573601389601846E-2</v>
      </c>
      <c r="I7" s="41"/>
      <c r="J7" s="41"/>
    </row>
    <row r="8" spans="2:10" ht="22.5" x14ac:dyDescent="0.25">
      <c r="B8" s="19" t="s">
        <v>191</v>
      </c>
      <c r="C8" s="18" t="s">
        <v>234</v>
      </c>
      <c r="D8" s="29">
        <f>'ANEXO 3 - CONSOLIDADO'!M25</f>
        <v>12</v>
      </c>
      <c r="E8" s="26">
        <f>'ANEXO 3 - CONSOLIDADO'!I25</f>
        <v>6365740</v>
      </c>
      <c r="F8" s="18" t="s">
        <v>250</v>
      </c>
      <c r="G8" s="16">
        <f>D8*E8</f>
        <v>76388880</v>
      </c>
      <c r="H8" s="49">
        <f>G8/$G$10</f>
        <v>0.62427444602103954</v>
      </c>
      <c r="I8" s="41"/>
      <c r="J8" s="41"/>
    </row>
    <row r="9" spans="2:10" ht="22.5" x14ac:dyDescent="0.25">
      <c r="B9" s="19" t="s">
        <v>194</v>
      </c>
      <c r="C9" s="18" t="s">
        <v>235</v>
      </c>
      <c r="D9" s="29">
        <f>'ANEXO 3 - CONSOLIDADO'!M26</f>
        <v>6</v>
      </c>
      <c r="E9" s="26">
        <f>'ANEXO 3 - CONSOLIDADO'!I26</f>
        <v>6651557</v>
      </c>
      <c r="F9" s="18" t="s">
        <v>251</v>
      </c>
      <c r="G9" s="16">
        <f>D9*E9</f>
        <v>39909342</v>
      </c>
      <c r="H9" s="49">
        <f>G9/$G$10</f>
        <v>0.32615195258935864</v>
      </c>
      <c r="I9" s="41"/>
      <c r="J9" s="41"/>
    </row>
    <row r="10" spans="2:10" ht="22.5" x14ac:dyDescent="0.25">
      <c r="B10" s="9" t="s">
        <v>252</v>
      </c>
      <c r="C10" s="32" t="s">
        <v>253</v>
      </c>
      <c r="D10" s="9">
        <f>SUM(D7:D9)</f>
        <v>19</v>
      </c>
      <c r="E10" s="33"/>
      <c r="F10" s="33"/>
      <c r="G10" s="34">
        <f>SUM(G7:G9)</f>
        <v>122364259</v>
      </c>
      <c r="H10" s="53">
        <f>G10/G10</f>
        <v>1</v>
      </c>
      <c r="I10" s="43"/>
      <c r="J10" s="43"/>
    </row>
    <row r="12" spans="2:10" x14ac:dyDescent="0.25">
      <c r="B12" s="48" t="s">
        <v>254</v>
      </c>
      <c r="C12" s="43"/>
      <c r="D12" s="43"/>
      <c r="E12" s="43"/>
      <c r="F12" s="43"/>
      <c r="G12" s="43"/>
      <c r="H12" s="43"/>
      <c r="I12" s="43"/>
      <c r="J12" s="43"/>
    </row>
    <row r="13" spans="2:10" x14ac:dyDescent="0.25">
      <c r="B13" s="42" t="s">
        <v>255</v>
      </c>
      <c r="C13" s="43"/>
      <c r="D13" s="43"/>
      <c r="E13" s="43"/>
      <c r="F13" s="43"/>
      <c r="G13" s="10" t="s">
        <v>256</v>
      </c>
      <c r="H13" s="42" t="s">
        <v>257</v>
      </c>
      <c r="I13" s="43"/>
      <c r="J13" s="43"/>
    </row>
    <row r="14" spans="2:10" ht="24.75" customHeight="1" x14ac:dyDescent="0.25">
      <c r="B14" s="40" t="s">
        <v>258</v>
      </c>
      <c r="C14" s="41"/>
      <c r="D14" s="41"/>
      <c r="E14" s="41"/>
      <c r="F14" s="41"/>
      <c r="G14" s="16">
        <f>G7</f>
        <v>6066037</v>
      </c>
      <c r="H14" s="40" t="s">
        <v>259</v>
      </c>
      <c r="I14" s="41"/>
      <c r="J14" s="41"/>
    </row>
    <row r="15" spans="2:10" ht="33.75" customHeight="1" x14ac:dyDescent="0.25">
      <c r="B15" s="40" t="s">
        <v>260</v>
      </c>
      <c r="C15" s="41"/>
      <c r="D15" s="41"/>
      <c r="E15" s="41"/>
      <c r="F15" s="41"/>
      <c r="G15" s="16">
        <f>G8+G9</f>
        <v>116298222</v>
      </c>
      <c r="H15" s="40" t="s">
        <v>261</v>
      </c>
      <c r="I15" s="41"/>
      <c r="J15" s="41"/>
    </row>
    <row r="16" spans="2:10" x14ac:dyDescent="0.25">
      <c r="B16" s="46" t="s">
        <v>252</v>
      </c>
      <c r="C16" s="41"/>
      <c r="D16" s="41"/>
      <c r="E16" s="41"/>
      <c r="F16" s="41"/>
      <c r="G16" s="16">
        <f>G14+G15</f>
        <v>122364259</v>
      </c>
      <c r="H16" s="40" t="s">
        <v>158</v>
      </c>
      <c r="I16" s="41"/>
      <c r="J16" s="41"/>
    </row>
    <row r="18" spans="2:10" ht="30" customHeight="1" x14ac:dyDescent="0.25">
      <c r="B18" s="52" t="s">
        <v>262</v>
      </c>
      <c r="C18" s="45"/>
      <c r="D18" s="45"/>
      <c r="E18" s="45"/>
      <c r="F18" s="45"/>
      <c r="G18" s="45"/>
      <c r="H18" s="45"/>
      <c r="I18" s="44">
        <f>G10</f>
        <v>122364259</v>
      </c>
      <c r="J18" s="45"/>
    </row>
    <row r="20" spans="2:10" x14ac:dyDescent="0.25">
      <c r="B20" s="54" t="s">
        <v>140</v>
      </c>
      <c r="C20" s="39"/>
      <c r="D20" s="39"/>
      <c r="E20" s="39"/>
      <c r="F20" s="39"/>
      <c r="G20" s="39"/>
      <c r="H20" s="39"/>
      <c r="I20" s="39"/>
      <c r="J20" s="39"/>
    </row>
    <row r="21" spans="2:10" ht="26.1" customHeight="1" x14ac:dyDescent="0.25">
      <c r="B21" s="38" t="s">
        <v>263</v>
      </c>
      <c r="C21" s="39"/>
      <c r="D21" s="39"/>
      <c r="E21" s="39"/>
      <c r="F21" s="39"/>
      <c r="G21" s="39"/>
      <c r="H21" s="39"/>
      <c r="I21" s="39"/>
      <c r="J21" s="39"/>
    </row>
    <row r="22" spans="2:10" ht="26.1" customHeight="1" x14ac:dyDescent="0.25">
      <c r="B22" s="38" t="s">
        <v>264</v>
      </c>
      <c r="C22" s="39"/>
      <c r="D22" s="39"/>
      <c r="E22" s="39"/>
      <c r="F22" s="39"/>
      <c r="G22" s="39"/>
      <c r="H22" s="39"/>
      <c r="I22" s="39"/>
      <c r="J22" s="39"/>
    </row>
    <row r="23" spans="2:10" ht="26.1" customHeight="1" x14ac:dyDescent="0.25">
      <c r="B23" s="38" t="s">
        <v>265</v>
      </c>
      <c r="C23" s="39"/>
      <c r="D23" s="39"/>
      <c r="E23" s="39"/>
      <c r="F23" s="39"/>
      <c r="G23" s="39"/>
      <c r="H23" s="39"/>
      <c r="I23" s="39"/>
      <c r="J23" s="39"/>
    </row>
    <row r="24" spans="2:10" ht="26.1" customHeight="1" x14ac:dyDescent="0.25">
      <c r="B24" s="38" t="s">
        <v>309</v>
      </c>
      <c r="C24" s="39"/>
      <c r="D24" s="39"/>
      <c r="E24" s="39"/>
      <c r="F24" s="39"/>
      <c r="G24" s="39"/>
      <c r="H24" s="39"/>
      <c r="I24" s="39"/>
      <c r="J24" s="39"/>
    </row>
  </sheetData>
  <mergeCells count="25">
    <mergeCell ref="H8:J8"/>
    <mergeCell ref="H9:J9"/>
    <mergeCell ref="B14:F14"/>
    <mergeCell ref="B13:F13"/>
    <mergeCell ref="H15:J15"/>
    <mergeCell ref="B12:J12"/>
    <mergeCell ref="B18:H18"/>
    <mergeCell ref="B24:J24"/>
    <mergeCell ref="H10:J10"/>
    <mergeCell ref="B15:F15"/>
    <mergeCell ref="B23:J23"/>
    <mergeCell ref="H14:J14"/>
    <mergeCell ref="B20:J20"/>
    <mergeCell ref="D3:J3"/>
    <mergeCell ref="B3:C3"/>
    <mergeCell ref="H7:J7"/>
    <mergeCell ref="B2:J2"/>
    <mergeCell ref="H6:J6"/>
    <mergeCell ref="B5:J5"/>
    <mergeCell ref="B22:J22"/>
    <mergeCell ref="H16:J16"/>
    <mergeCell ref="B21:J21"/>
    <mergeCell ref="H13:J13"/>
    <mergeCell ref="I18:J18"/>
    <mergeCell ref="B16:F16"/>
  </mergeCells>
  <pageMargins left="0.75" right="0.75" top="1" bottom="1" header="0.5" footer="0.5"/>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F32"/>
  <sheetViews>
    <sheetView showGridLines="0" workbookViewId="0">
      <pane xSplit="1" ySplit="5" topLeftCell="B6" activePane="bottomRight" state="frozen"/>
      <selection pane="topRight"/>
      <selection pane="bottomLeft"/>
      <selection pane="bottomRight"/>
    </sheetView>
  </sheetViews>
  <sheetFormatPr baseColWidth="10" defaultColWidth="9" defaultRowHeight="15" x14ac:dyDescent="0.25"/>
  <cols>
    <col min="1" max="1" width="2" customWidth="1"/>
    <col min="2" max="2" width="22" customWidth="1"/>
    <col min="3" max="5" width="14" customWidth="1"/>
    <col min="6" max="6" width="62" customWidth="1"/>
  </cols>
  <sheetData>
    <row r="2" spans="2:6" x14ac:dyDescent="0.25">
      <c r="B2" s="50" t="s">
        <v>266</v>
      </c>
      <c r="C2" s="51"/>
      <c r="D2" s="51"/>
      <c r="E2" s="51"/>
      <c r="F2" s="51"/>
    </row>
    <row r="3" spans="2:6" ht="26.1" customHeight="1" x14ac:dyDescent="0.25">
      <c r="B3" s="40" t="s">
        <v>267</v>
      </c>
      <c r="C3" s="39"/>
      <c r="D3" s="39"/>
      <c r="E3" s="39"/>
      <c r="F3" s="39"/>
    </row>
    <row r="5" spans="2:6" x14ac:dyDescent="0.25">
      <c r="B5" s="9" t="s">
        <v>216</v>
      </c>
      <c r="C5" s="9" t="s">
        <v>268</v>
      </c>
      <c r="D5" s="9" t="s">
        <v>269</v>
      </c>
      <c r="E5" s="9" t="s">
        <v>270</v>
      </c>
      <c r="F5" s="9" t="s">
        <v>271</v>
      </c>
    </row>
    <row r="6" spans="2:6" x14ac:dyDescent="0.25">
      <c r="B6" s="3" t="s">
        <v>272</v>
      </c>
      <c r="C6" s="35">
        <v>138.97999999999999</v>
      </c>
      <c r="D6" s="35">
        <v>146.24</v>
      </c>
      <c r="E6" s="35">
        <v>154.07</v>
      </c>
      <c r="F6" s="18"/>
    </row>
    <row r="7" spans="2:6" x14ac:dyDescent="0.25">
      <c r="B7" s="3" t="s">
        <v>273</v>
      </c>
      <c r="C7" s="35">
        <v>140.49</v>
      </c>
      <c r="D7" s="35">
        <v>147.9</v>
      </c>
      <c r="E7" s="35">
        <v>155.72999999999999</v>
      </c>
      <c r="F7" s="18"/>
    </row>
    <row r="8" spans="2:6" x14ac:dyDescent="0.25">
      <c r="B8" s="3" t="s">
        <v>274</v>
      </c>
      <c r="C8" s="35">
        <v>141.47999999999999</v>
      </c>
      <c r="D8" s="35">
        <v>148.68</v>
      </c>
      <c r="E8" s="35">
        <v>156.94</v>
      </c>
      <c r="F8" s="18"/>
    </row>
    <row r="9" spans="2:6" x14ac:dyDescent="0.25">
      <c r="B9" s="3" t="s">
        <v>275</v>
      </c>
      <c r="C9" s="35">
        <v>142.32</v>
      </c>
      <c r="D9" s="35">
        <v>149.66</v>
      </c>
      <c r="E9" s="35">
        <v>158.16999999999999</v>
      </c>
      <c r="F9" s="18"/>
    </row>
    <row r="10" spans="2:6" x14ac:dyDescent="0.25">
      <c r="B10" s="3" t="s">
        <v>276</v>
      </c>
      <c r="C10" s="35">
        <v>142.91999999999999</v>
      </c>
      <c r="D10" s="35">
        <v>150.13999999999999</v>
      </c>
      <c r="E10" s="35">
        <v>158.91</v>
      </c>
      <c r="F10" s="18"/>
    </row>
    <row r="11" spans="2:6" x14ac:dyDescent="0.25">
      <c r="B11" s="3" t="s">
        <v>277</v>
      </c>
      <c r="C11" s="35">
        <v>143.38</v>
      </c>
      <c r="D11" s="35">
        <v>150.30000000000001</v>
      </c>
      <c r="E11" s="35">
        <v>159.53</v>
      </c>
      <c r="F11" s="18"/>
    </row>
    <row r="12" spans="2:6" x14ac:dyDescent="0.25">
      <c r="B12" s="3" t="s">
        <v>278</v>
      </c>
      <c r="C12" s="35">
        <v>143.66999999999999</v>
      </c>
      <c r="D12" s="35">
        <v>150.71</v>
      </c>
      <c r="E12" s="36">
        <v>159.79</v>
      </c>
      <c r="F12" s="18" t="s">
        <v>279</v>
      </c>
    </row>
    <row r="13" spans="2:6" x14ac:dyDescent="0.25">
      <c r="B13" s="3" t="s">
        <v>280</v>
      </c>
      <c r="C13" s="35">
        <v>143.66999999999999</v>
      </c>
      <c r="D13" s="35">
        <v>150.99</v>
      </c>
      <c r="E13" s="37" t="s">
        <v>281</v>
      </c>
      <c r="F13" s="18"/>
    </row>
    <row r="14" spans="2:6" x14ac:dyDescent="0.25">
      <c r="B14" s="3" t="s">
        <v>282</v>
      </c>
      <c r="C14" s="35">
        <v>144.02000000000001</v>
      </c>
      <c r="D14" s="35">
        <v>151.47999999999999</v>
      </c>
      <c r="E14" s="37" t="s">
        <v>281</v>
      </c>
      <c r="F14" s="18"/>
    </row>
    <row r="15" spans="2:6" x14ac:dyDescent="0.25">
      <c r="B15" s="3" t="s">
        <v>283</v>
      </c>
      <c r="C15" s="35">
        <v>143.83000000000001</v>
      </c>
      <c r="D15" s="35">
        <v>151.76</v>
      </c>
      <c r="E15" s="37" t="s">
        <v>281</v>
      </c>
      <c r="F15" s="18"/>
    </row>
    <row r="16" spans="2:6" x14ac:dyDescent="0.25">
      <c r="B16" s="3" t="s">
        <v>284</v>
      </c>
      <c r="C16" s="35">
        <v>144.22</v>
      </c>
      <c r="D16" s="35">
        <v>151.87</v>
      </c>
      <c r="E16" s="37" t="s">
        <v>281</v>
      </c>
      <c r="F16" s="18"/>
    </row>
    <row r="17" spans="2:6" ht="22.5" x14ac:dyDescent="0.25">
      <c r="B17" s="3" t="s">
        <v>285</v>
      </c>
      <c r="C17" s="36">
        <v>144.88</v>
      </c>
      <c r="D17" s="36">
        <v>152.27000000000001</v>
      </c>
      <c r="E17" s="37" t="s">
        <v>281</v>
      </c>
      <c r="F17" s="18" t="s">
        <v>286</v>
      </c>
    </row>
    <row r="19" spans="2:6" x14ac:dyDescent="0.25">
      <c r="B19" s="48" t="s">
        <v>287</v>
      </c>
      <c r="C19" s="43"/>
      <c r="D19" s="43"/>
      <c r="E19" s="43"/>
      <c r="F19" s="43"/>
    </row>
    <row r="20" spans="2:6" x14ac:dyDescent="0.25">
      <c r="B20" s="9" t="s">
        <v>288</v>
      </c>
      <c r="C20" s="55" t="s">
        <v>256</v>
      </c>
      <c r="D20" s="43"/>
      <c r="E20" s="43"/>
      <c r="F20" s="9" t="s">
        <v>289</v>
      </c>
    </row>
    <row r="21" spans="2:6" ht="24" x14ac:dyDescent="0.25">
      <c r="B21" s="1" t="s">
        <v>173</v>
      </c>
      <c r="C21" s="76">
        <f>152.27/144.88-1</f>
        <v>5.1007730535615803E-2</v>
      </c>
      <c r="D21" s="41"/>
      <c r="E21" s="41"/>
      <c r="F21" s="18" t="s">
        <v>290</v>
      </c>
    </row>
    <row r="22" spans="2:6" ht="24" x14ac:dyDescent="0.25">
      <c r="B22" s="1" t="s">
        <v>291</v>
      </c>
      <c r="C22" s="76">
        <f>159.79/150.71-1</f>
        <v>6.0248158715413558E-2</v>
      </c>
      <c r="D22" s="41"/>
      <c r="E22" s="41"/>
      <c r="F22" s="18" t="s">
        <v>292</v>
      </c>
    </row>
    <row r="23" spans="2:6" ht="36" x14ac:dyDescent="0.25">
      <c r="B23" s="1" t="s">
        <v>293</v>
      </c>
      <c r="C23" s="75">
        <v>6.6000000000000003E-2</v>
      </c>
      <c r="D23" s="41"/>
      <c r="E23" s="41"/>
      <c r="F23" s="18" t="s">
        <v>294</v>
      </c>
    </row>
    <row r="24" spans="2:6" ht="36" x14ac:dyDescent="0.25">
      <c r="B24" s="1" t="s">
        <v>295</v>
      </c>
      <c r="C24" s="75">
        <v>4.3999999999999997E-2</v>
      </c>
      <c r="D24" s="41"/>
      <c r="E24" s="41"/>
      <c r="F24" s="18" t="s">
        <v>296</v>
      </c>
    </row>
    <row r="25" spans="2:6" ht="36" x14ac:dyDescent="0.25">
      <c r="B25" s="1" t="s">
        <v>297</v>
      </c>
      <c r="C25" s="75">
        <v>0.03</v>
      </c>
      <c r="D25" s="41"/>
      <c r="E25" s="41"/>
      <c r="F25" s="18" t="s">
        <v>298</v>
      </c>
    </row>
    <row r="26" spans="2:6" ht="36" x14ac:dyDescent="0.25">
      <c r="B26" s="1" t="s">
        <v>299</v>
      </c>
      <c r="C26" s="74">
        <v>0.06</v>
      </c>
      <c r="D26" s="41"/>
      <c r="E26" s="41"/>
      <c r="F26" s="18" t="s">
        <v>300</v>
      </c>
    </row>
    <row r="27" spans="2:6" ht="48" x14ac:dyDescent="0.25">
      <c r="B27" s="1" t="s">
        <v>301</v>
      </c>
      <c r="C27" s="74">
        <v>0.05</v>
      </c>
      <c r="D27" s="41"/>
      <c r="E27" s="41"/>
      <c r="F27" s="18" t="s">
        <v>302</v>
      </c>
    </row>
    <row r="28" spans="2:6" ht="24" x14ac:dyDescent="0.25">
      <c r="B28" s="1" t="s">
        <v>303</v>
      </c>
      <c r="C28" s="74">
        <v>0.03</v>
      </c>
      <c r="D28" s="41"/>
      <c r="E28" s="41"/>
      <c r="F28" s="18" t="s">
        <v>304</v>
      </c>
    </row>
    <row r="29" spans="2:6" ht="24" x14ac:dyDescent="0.25">
      <c r="B29" s="1" t="s">
        <v>305</v>
      </c>
      <c r="C29" s="74">
        <v>0.12</v>
      </c>
      <c r="D29" s="41"/>
      <c r="E29" s="41"/>
      <c r="F29" s="18" t="s">
        <v>306</v>
      </c>
    </row>
    <row r="31" spans="2:6" x14ac:dyDescent="0.25">
      <c r="B31" s="38" t="s">
        <v>307</v>
      </c>
      <c r="C31" s="39"/>
      <c r="D31" s="39"/>
      <c r="E31" s="39"/>
      <c r="F31" s="39"/>
    </row>
    <row r="32" spans="2:6" ht="24" customHeight="1" x14ac:dyDescent="0.25">
      <c r="B32" s="73" t="s">
        <v>308</v>
      </c>
      <c r="C32" s="39"/>
      <c r="D32" s="39"/>
      <c r="E32" s="39"/>
      <c r="F32" s="39"/>
    </row>
  </sheetData>
  <mergeCells count="15">
    <mergeCell ref="C28:E28"/>
    <mergeCell ref="C27:E27"/>
    <mergeCell ref="B2:F2"/>
    <mergeCell ref="B32:F32"/>
    <mergeCell ref="C23:E23"/>
    <mergeCell ref="B3:F3"/>
    <mergeCell ref="B19:F19"/>
    <mergeCell ref="C22:E22"/>
    <mergeCell ref="C26:E26"/>
    <mergeCell ref="B31:F31"/>
    <mergeCell ref="C29:E29"/>
    <mergeCell ref="C21:E21"/>
    <mergeCell ref="C20:E20"/>
    <mergeCell ref="C25:E25"/>
    <mergeCell ref="C24:E24"/>
  </mergeCells>
  <pageMargins left="0.75" right="0.75" top="1" bottom="1" header="0.5" footer="0.5"/>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PORTADA</vt:lpstr>
      <vt:lpstr>ANEXO 1 - COTIZACIONES</vt:lpstr>
      <vt:lpstr>ANEXO 2 - HISTÓRICO</vt:lpstr>
      <vt:lpstr>ANEXO 3 - CONSOLIDADO</vt:lpstr>
      <vt:lpstr>ANEXO 4 - PRESUPUESTO OFICIAL</vt:lpstr>
      <vt:lpstr>ÍNDICES IPC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Sebastian Camilo Calderon Carvajal</cp:lastModifiedBy>
  <dcterms:created xsi:type="dcterms:W3CDTF">2026-09-03T21:02:29Z</dcterms:created>
  <dcterms:modified xsi:type="dcterms:W3CDTF">2026-10-14T21:30:29Z</dcterms:modified>
</cp:coreProperties>
</file>