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ASUS\Documents\2026\CENAC EDUCACION\MENOR CUANTIA\137 MOBILIARIO\COTIZACIONES\"/>
    </mc:Choice>
  </mc:AlternateContent>
  <xr:revisionPtr revIDLastSave="0" documentId="13_ncr:1_{9D3CB5AC-6370-4F59-9A67-5C40E886383B}" xr6:coauthVersionLast="47" xr6:coauthVersionMax="47" xr10:uidLastSave="{00000000-0000-0000-0000-000000000000}"/>
  <bookViews>
    <workbookView xWindow="-110" yWindow="-110" windowWidth="19420" windowHeight="10300" xr2:uid="{21A877B3-E01C-403A-896A-A1D6675AC9E6}"/>
  </bookViews>
  <sheets>
    <sheet name="PRECIO REFERENCIA-CANTIDAD MINI" sheetId="3" r:id="rId1"/>
    <sheet name="ANALISIS COMPLEMENTARIO" sheetId="5" r:id="rId2"/>
    <sheet name="ANALISIS DE COTIZACIONES PODADA" sheetId="4" r:id="rId3"/>
    <sheet name="ANALISIS DE COTIZACIONES" sheetId="2" r:id="rId4"/>
  </sheets>
  <definedNames>
    <definedName name="_xlnm.Print_Area" localSheetId="3">'ANALISIS DE COTIZACIONES'!$A$2:$BA$23</definedName>
    <definedName name="_xlnm.Print_Area" localSheetId="2">'ANALISIS DE COTIZACIONES PODADA'!$A$2:$AJ$23</definedName>
    <definedName name="_xlnm.Print_Area" localSheetId="0">'PRECIO REFERENCIA-CANTIDAD MINI'!$A$1:$N$121</definedName>
    <definedName name="Rubros" localSheetId="3">#REF!</definedName>
    <definedName name="Rubros" localSheetId="2">#REF!</definedName>
    <definedName name="Rubr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118" i="3" l="1"/>
  <c r="L112" i="3"/>
  <c r="M53" i="3"/>
  <c r="V3" i="5"/>
  <c r="S3" i="5"/>
  <c r="T3" i="5"/>
  <c r="R3" i="5"/>
  <c r="Q3" i="5"/>
  <c r="P3" i="5"/>
  <c r="O3" i="5"/>
  <c r="N3" i="5"/>
  <c r="J3" i="5"/>
  <c r="K3" i="5" s="1"/>
  <c r="L3" i="5" l="1"/>
  <c r="M3" i="5" s="1"/>
  <c r="L113" i="3" l="1"/>
  <c r="L114" i="3"/>
  <c r="L115" i="3"/>
  <c r="L116" i="3"/>
  <c r="L119" i="3"/>
  <c r="I119" i="3"/>
  <c r="I116" i="3"/>
  <c r="I115" i="3"/>
  <c r="I114" i="3"/>
  <c r="I113" i="3"/>
  <c r="I112" i="3"/>
  <c r="H120" i="3"/>
  <c r="K113" i="3"/>
  <c r="K114" i="3"/>
  <c r="K115" i="3"/>
  <c r="K116" i="3"/>
  <c r="K119" i="3"/>
  <c r="K112" i="3"/>
  <c r="J119" i="3"/>
  <c r="J116" i="3"/>
  <c r="J115" i="3"/>
  <c r="J114" i="3"/>
  <c r="J113" i="3"/>
  <c r="J112" i="3"/>
  <c r="L98" i="3"/>
  <c r="L99" i="3"/>
  <c r="L100" i="3"/>
  <c r="L101" i="3"/>
  <c r="L102" i="3"/>
  <c r="L103" i="3"/>
  <c r="L104" i="3"/>
  <c r="L97" i="3"/>
  <c r="K107" i="3"/>
  <c r="K106" i="3"/>
  <c r="K105" i="3"/>
  <c r="K98" i="3"/>
  <c r="K99" i="3"/>
  <c r="K100" i="3"/>
  <c r="K101" i="3"/>
  <c r="K102" i="3"/>
  <c r="K103" i="3"/>
  <c r="K104" i="3"/>
  <c r="K97" i="3"/>
  <c r="I105" i="3"/>
  <c r="I98" i="3"/>
  <c r="I99" i="3"/>
  <c r="I100" i="3"/>
  <c r="I101" i="3"/>
  <c r="I102" i="3"/>
  <c r="I103" i="3"/>
  <c r="I104" i="3"/>
  <c r="I97" i="3"/>
  <c r="K89" i="3"/>
  <c r="K88" i="3"/>
  <c r="K76" i="3"/>
  <c r="K55" i="3"/>
  <c r="K56" i="3" s="1"/>
  <c r="I44" i="3"/>
  <c r="K33" i="3"/>
  <c r="K21" i="3"/>
  <c r="K9" i="3"/>
  <c r="M85" i="3"/>
  <c r="M84" i="3"/>
  <c r="L86" i="3"/>
  <c r="L85" i="3"/>
  <c r="L84" i="3"/>
  <c r="K86" i="3"/>
  <c r="K85" i="3"/>
  <c r="K84" i="3"/>
  <c r="M64" i="3"/>
  <c r="L64" i="3"/>
  <c r="M65" i="3"/>
  <c r="L65" i="3"/>
  <c r="M66" i="3"/>
  <c r="L66" i="3"/>
  <c r="M74" i="3"/>
  <c r="L74" i="3"/>
  <c r="M73" i="3"/>
  <c r="L73" i="3"/>
  <c r="L72" i="3"/>
  <c r="L71" i="3"/>
  <c r="L70" i="3"/>
  <c r="L69" i="3"/>
  <c r="L67" i="3"/>
  <c r="L63" i="3"/>
  <c r="K70" i="3"/>
  <c r="K71" i="3"/>
  <c r="K72" i="3"/>
  <c r="K73" i="3"/>
  <c r="K74" i="3"/>
  <c r="K69" i="3"/>
  <c r="K67" i="3"/>
  <c r="K64" i="3"/>
  <c r="K65" i="3"/>
  <c r="K66" i="3"/>
  <c r="K63" i="3"/>
  <c r="L53" i="3"/>
  <c r="K53" i="3"/>
  <c r="K54" i="3" s="1"/>
  <c r="J117" i="3" s="1"/>
  <c r="M31" i="3"/>
  <c r="M30" i="3"/>
  <c r="L31" i="3"/>
  <c r="L30" i="3"/>
  <c r="K31" i="3"/>
  <c r="K30" i="3"/>
  <c r="M17" i="3"/>
  <c r="M6" i="3"/>
  <c r="L7" i="3"/>
  <c r="L6" i="3"/>
  <c r="L19" i="3"/>
  <c r="L18" i="3"/>
  <c r="L17" i="3"/>
  <c r="K17" i="3"/>
  <c r="K18" i="3"/>
  <c r="K19" i="3"/>
  <c r="K6" i="3"/>
  <c r="I85" i="3"/>
  <c r="I86" i="3"/>
  <c r="I84" i="3"/>
  <c r="I7" i="3"/>
  <c r="K7" i="3" s="1"/>
  <c r="I6" i="3"/>
  <c r="I18" i="3"/>
  <c r="I19" i="3"/>
  <c r="I17" i="3"/>
  <c r="I31" i="3"/>
  <c r="I30" i="3"/>
  <c r="I42" i="3"/>
  <c r="I43" i="3" s="1"/>
  <c r="I70" i="3"/>
  <c r="I71" i="3"/>
  <c r="I72" i="3"/>
  <c r="I73" i="3"/>
  <c r="I74" i="3"/>
  <c r="I69" i="3"/>
  <c r="I67" i="3"/>
  <c r="I65" i="3"/>
  <c r="I66" i="3"/>
  <c r="I64" i="3"/>
  <c r="I63" i="3"/>
  <c r="AI22" i="4"/>
  <c r="AI20" i="4"/>
  <c r="AI21" i="4"/>
  <c r="AI19" i="4"/>
  <c r="AI18" i="4"/>
  <c r="AI5" i="4"/>
  <c r="AI6" i="4"/>
  <c r="AI7" i="4"/>
  <c r="AI8" i="4"/>
  <c r="AI9" i="4"/>
  <c r="AI10" i="4"/>
  <c r="AI11" i="4"/>
  <c r="AI12" i="4"/>
  <c r="AI13" i="4"/>
  <c r="AI14" i="4"/>
  <c r="AI16" i="4"/>
  <c r="AI17" i="4"/>
  <c r="AI4" i="4"/>
  <c r="AH22" i="4"/>
  <c r="AH17" i="4"/>
  <c r="AH18" i="4"/>
  <c r="AH19" i="4"/>
  <c r="AH20" i="4"/>
  <c r="AH21" i="4"/>
  <c r="AH16" i="4"/>
  <c r="AH14" i="4"/>
  <c r="AH13" i="4"/>
  <c r="AH12" i="4"/>
  <c r="AH5" i="4"/>
  <c r="AH6" i="4"/>
  <c r="AH7" i="4"/>
  <c r="AH8" i="4"/>
  <c r="AH9" i="4"/>
  <c r="AH10" i="4"/>
  <c r="AH11" i="4"/>
  <c r="AH4" i="4"/>
  <c r="AF20" i="4"/>
  <c r="AF6" i="4"/>
  <c r="AF19" i="4"/>
  <c r="AF21" i="4"/>
  <c r="AF18" i="4"/>
  <c r="AF17" i="4"/>
  <c r="AF16" i="4"/>
  <c r="AF14" i="4"/>
  <c r="AF13" i="4"/>
  <c r="AF12" i="4"/>
  <c r="AF5" i="4"/>
  <c r="AF11" i="4"/>
  <c r="AF10" i="4"/>
  <c r="AF9" i="4"/>
  <c r="AF8" i="4"/>
  <c r="AF7" i="4"/>
  <c r="AF4" i="4"/>
  <c r="AC21" i="4"/>
  <c r="AD21" i="4" s="1"/>
  <c r="AB21" i="4"/>
  <c r="AA21" i="4"/>
  <c r="Z21" i="4"/>
  <c r="Y21" i="4"/>
  <c r="X21" i="4"/>
  <c r="AC20" i="4"/>
  <c r="AD20" i="4" s="1"/>
  <c r="AB20" i="4"/>
  <c r="AA20" i="4"/>
  <c r="Z20" i="4"/>
  <c r="Y20" i="4"/>
  <c r="X20" i="4"/>
  <c r="AC19" i="4"/>
  <c r="AD19" i="4" s="1"/>
  <c r="AB19" i="4"/>
  <c r="AA19" i="4"/>
  <c r="Z19" i="4"/>
  <c r="Y19" i="4"/>
  <c r="X19" i="4"/>
  <c r="AC18" i="4"/>
  <c r="AD18" i="4" s="1"/>
  <c r="AB18" i="4"/>
  <c r="AA18" i="4"/>
  <c r="Z18" i="4"/>
  <c r="Y18" i="4"/>
  <c r="X18" i="4"/>
  <c r="AC17" i="4"/>
  <c r="AD17" i="4" s="1"/>
  <c r="AB17" i="4"/>
  <c r="AA17" i="4"/>
  <c r="Z17" i="4"/>
  <c r="Y17" i="4"/>
  <c r="X17" i="4"/>
  <c r="AC16" i="4"/>
  <c r="AD16" i="4" s="1"/>
  <c r="AB16" i="4"/>
  <c r="AA16" i="4"/>
  <c r="Z16" i="4"/>
  <c r="Y16" i="4"/>
  <c r="X16" i="4"/>
  <c r="AC15" i="4"/>
  <c r="AD15" i="4" s="1"/>
  <c r="AB15" i="4"/>
  <c r="AA15" i="4"/>
  <c r="Z15" i="4"/>
  <c r="Y15" i="4"/>
  <c r="X15" i="4"/>
  <c r="AC14" i="4"/>
  <c r="AD14" i="4" s="1"/>
  <c r="AB14" i="4"/>
  <c r="AA14" i="4"/>
  <c r="Z14" i="4"/>
  <c r="Y14" i="4"/>
  <c r="X14" i="4"/>
  <c r="AC13" i="4"/>
  <c r="AD13" i="4" s="1"/>
  <c r="AB13" i="4"/>
  <c r="AA13" i="4"/>
  <c r="Z13" i="4"/>
  <c r="Y13" i="4"/>
  <c r="X13" i="4"/>
  <c r="AD12" i="4"/>
  <c r="AC12" i="4"/>
  <c r="AB12" i="4"/>
  <c r="AA12" i="4"/>
  <c r="Z12" i="4"/>
  <c r="Y12" i="4"/>
  <c r="X12" i="4"/>
  <c r="AC11" i="4"/>
  <c r="AB11" i="4"/>
  <c r="AA11" i="4"/>
  <c r="Z11" i="4"/>
  <c r="Y11" i="4"/>
  <c r="AD11" i="4" s="1"/>
  <c r="X11" i="4"/>
  <c r="AC10" i="4"/>
  <c r="AD10" i="4" s="1"/>
  <c r="AB10" i="4"/>
  <c r="AA10" i="4"/>
  <c r="Z10" i="4"/>
  <c r="Y10" i="4"/>
  <c r="X10" i="4"/>
  <c r="AC9" i="4"/>
  <c r="AD9" i="4" s="1"/>
  <c r="AB9" i="4"/>
  <c r="AA9" i="4"/>
  <c r="Z9" i="4"/>
  <c r="Y9" i="4"/>
  <c r="X9" i="4"/>
  <c r="AC8" i="4"/>
  <c r="AD8" i="4" s="1"/>
  <c r="AB8" i="4"/>
  <c r="AA8" i="4"/>
  <c r="Z8" i="4"/>
  <c r="Y8" i="4"/>
  <c r="X8" i="4"/>
  <c r="AC7" i="4"/>
  <c r="AD7" i="4" s="1"/>
  <c r="AB7" i="4"/>
  <c r="AA7" i="4"/>
  <c r="Z7" i="4"/>
  <c r="Y7" i="4"/>
  <c r="X7" i="4"/>
  <c r="AC6" i="4"/>
  <c r="AD6" i="4" s="1"/>
  <c r="AB6" i="4"/>
  <c r="AA6" i="4"/>
  <c r="Z6" i="4"/>
  <c r="Y6" i="4"/>
  <c r="X6" i="4"/>
  <c r="AC5" i="4"/>
  <c r="AD5" i="4" s="1"/>
  <c r="AB5" i="4"/>
  <c r="AA5" i="4"/>
  <c r="Z5" i="4"/>
  <c r="Y5" i="4"/>
  <c r="X5" i="4"/>
  <c r="AC4" i="4"/>
  <c r="AB4" i="4"/>
  <c r="AA4" i="4"/>
  <c r="Z4" i="4"/>
  <c r="Y4" i="4"/>
  <c r="X4" i="4"/>
  <c r="T21" i="4"/>
  <c r="U21" i="4" s="1"/>
  <c r="V21" i="4" s="1"/>
  <c r="O21" i="4"/>
  <c r="P21" i="4" s="1"/>
  <c r="Q21" i="4" s="1"/>
  <c r="J21" i="4"/>
  <c r="K21" i="4" s="1"/>
  <c r="T20" i="4"/>
  <c r="U20" i="4" s="1"/>
  <c r="V20" i="4" s="1"/>
  <c r="O20" i="4"/>
  <c r="P20" i="4" s="1"/>
  <c r="J20" i="4"/>
  <c r="K20" i="4" s="1"/>
  <c r="L20" i="4" s="1"/>
  <c r="T19" i="4"/>
  <c r="U19" i="4" s="1"/>
  <c r="V19" i="4" s="1"/>
  <c r="O19" i="4"/>
  <c r="P19" i="4" s="1"/>
  <c r="Q19" i="4" s="1"/>
  <c r="J19" i="4"/>
  <c r="K19" i="4" s="1"/>
  <c r="T18" i="4"/>
  <c r="U18" i="4" s="1"/>
  <c r="V18" i="4" s="1"/>
  <c r="O18" i="4"/>
  <c r="P18" i="4" s="1"/>
  <c r="Q18" i="4" s="1"/>
  <c r="J18" i="4"/>
  <c r="K18" i="4" s="1"/>
  <c r="T17" i="4"/>
  <c r="U17" i="4" s="1"/>
  <c r="V17" i="4" s="1"/>
  <c r="O17" i="4"/>
  <c r="P17" i="4" s="1"/>
  <c r="Q17" i="4" s="1"/>
  <c r="J17" i="4"/>
  <c r="K17" i="4" s="1"/>
  <c r="T16" i="4"/>
  <c r="U16" i="4" s="1"/>
  <c r="V16" i="4" s="1"/>
  <c r="O16" i="4"/>
  <c r="P16" i="4" s="1"/>
  <c r="Q16" i="4" s="1"/>
  <c r="J16" i="4"/>
  <c r="K16" i="4" s="1"/>
  <c r="T14" i="4"/>
  <c r="U14" i="4" s="1"/>
  <c r="V14" i="4" s="1"/>
  <c r="O14" i="4"/>
  <c r="P14" i="4" s="1"/>
  <c r="Q14" i="4" s="1"/>
  <c r="J14" i="4"/>
  <c r="K14" i="4" s="1"/>
  <c r="T13" i="4"/>
  <c r="U13" i="4" s="1"/>
  <c r="V13" i="4" s="1"/>
  <c r="O13" i="4"/>
  <c r="P13" i="4" s="1"/>
  <c r="Q13" i="4" s="1"/>
  <c r="J13" i="4"/>
  <c r="K13" i="4" s="1"/>
  <c r="T12" i="4"/>
  <c r="U12" i="4" s="1"/>
  <c r="V12" i="4" s="1"/>
  <c r="O12" i="4"/>
  <c r="P12" i="4" s="1"/>
  <c r="Q12" i="4" s="1"/>
  <c r="J12" i="4"/>
  <c r="K12" i="4" s="1"/>
  <c r="T11" i="4"/>
  <c r="U11" i="4" s="1"/>
  <c r="V11" i="4" s="1"/>
  <c r="O11" i="4"/>
  <c r="P11" i="4" s="1"/>
  <c r="Q11" i="4" s="1"/>
  <c r="J11" i="4"/>
  <c r="K11" i="4" s="1"/>
  <c r="T10" i="4"/>
  <c r="U10" i="4" s="1"/>
  <c r="V10" i="4" s="1"/>
  <c r="O10" i="4"/>
  <c r="P10" i="4" s="1"/>
  <c r="Q10" i="4" s="1"/>
  <c r="J10" i="4"/>
  <c r="K10" i="4" s="1"/>
  <c r="T9" i="4"/>
  <c r="U9" i="4" s="1"/>
  <c r="V9" i="4" s="1"/>
  <c r="O9" i="4"/>
  <c r="P9" i="4" s="1"/>
  <c r="J9" i="4"/>
  <c r="K9" i="4" s="1"/>
  <c r="T8" i="4"/>
  <c r="U8" i="4" s="1"/>
  <c r="V8" i="4" s="1"/>
  <c r="O8" i="4"/>
  <c r="P8" i="4" s="1"/>
  <c r="Q8" i="4" s="1"/>
  <c r="J8" i="4"/>
  <c r="K8" i="4" s="1"/>
  <c r="T7" i="4"/>
  <c r="U7" i="4" s="1"/>
  <c r="V7" i="4" s="1"/>
  <c r="O7" i="4"/>
  <c r="P7" i="4" s="1"/>
  <c r="J7" i="4"/>
  <c r="K7" i="4" s="1"/>
  <c r="T6" i="4"/>
  <c r="U6" i="4" s="1"/>
  <c r="V6" i="4" s="1"/>
  <c r="O6" i="4"/>
  <c r="P6" i="4" s="1"/>
  <c r="Q6" i="4" s="1"/>
  <c r="J6" i="4"/>
  <c r="K6" i="4" s="1"/>
  <c r="T5" i="4"/>
  <c r="U5" i="4" s="1"/>
  <c r="V5" i="4" s="1"/>
  <c r="O5" i="4"/>
  <c r="P5" i="4" s="1"/>
  <c r="J5" i="4"/>
  <c r="K5" i="4" s="1"/>
  <c r="T4" i="4"/>
  <c r="U4" i="4" s="1"/>
  <c r="V4" i="4" s="1"/>
  <c r="O4" i="4"/>
  <c r="P4" i="4" s="1"/>
  <c r="Q4" i="4" s="1"/>
  <c r="J4" i="4"/>
  <c r="K4" i="4" s="1"/>
  <c r="AF22" i="2"/>
  <c r="K117" i="3" l="1"/>
  <c r="I45" i="3"/>
  <c r="I32" i="3"/>
  <c r="K32" i="3"/>
  <c r="K34" i="3" s="1"/>
  <c r="I87" i="3"/>
  <c r="K8" i="3"/>
  <c r="K10" i="3" s="1"/>
  <c r="I20" i="3"/>
  <c r="K20" i="3"/>
  <c r="K22" i="3" s="1"/>
  <c r="I8" i="3"/>
  <c r="K87" i="3"/>
  <c r="K75" i="3"/>
  <c r="I75" i="3"/>
  <c r="L4" i="4"/>
  <c r="L8" i="4"/>
  <c r="L18" i="4"/>
  <c r="L6" i="4"/>
  <c r="L16" i="4"/>
  <c r="L13" i="4"/>
  <c r="Q20" i="4"/>
  <c r="V22" i="4"/>
  <c r="Q9" i="4"/>
  <c r="Q7" i="4"/>
  <c r="L11" i="4"/>
  <c r="L21" i="4"/>
  <c r="Q5" i="4"/>
  <c r="L12" i="4"/>
  <c r="L10" i="4"/>
  <c r="L19" i="4"/>
  <c r="L17" i="4"/>
  <c r="L7" i="4"/>
  <c r="L9" i="4"/>
  <c r="L14" i="4"/>
  <c r="L5" i="4"/>
  <c r="J118" i="3" l="1"/>
  <c r="K77" i="3"/>
  <c r="Q22" i="4"/>
  <c r="AD4" i="4"/>
  <c r="L22" i="4"/>
  <c r="K118" i="3" l="1"/>
  <c r="K120" i="3" s="1"/>
  <c r="L118" i="3"/>
  <c r="J120" i="3"/>
  <c r="AO7" i="2"/>
  <c r="I53" i="3"/>
  <c r="I54" i="3" s="1"/>
  <c r="I117" i="3" s="1"/>
  <c r="AT21" i="2"/>
  <c r="AS21" i="2"/>
  <c r="AR21" i="2"/>
  <c r="AQ21" i="2"/>
  <c r="AP21" i="2"/>
  <c r="AO21" i="2"/>
  <c r="AT20" i="2"/>
  <c r="AS20" i="2"/>
  <c r="AR20" i="2"/>
  <c r="AQ20" i="2"/>
  <c r="AP20" i="2"/>
  <c r="AO20" i="2"/>
  <c r="AT19" i="2"/>
  <c r="AS19" i="2"/>
  <c r="AR19" i="2"/>
  <c r="AQ19" i="2"/>
  <c r="AP19" i="2"/>
  <c r="AO19" i="2"/>
  <c r="AT18" i="2"/>
  <c r="AU18" i="2" s="1"/>
  <c r="AS18" i="2"/>
  <c r="AR18" i="2"/>
  <c r="AQ18" i="2"/>
  <c r="AP18" i="2"/>
  <c r="AO18" i="2"/>
  <c r="AT17" i="2"/>
  <c r="AS17" i="2"/>
  <c r="AR17" i="2"/>
  <c r="AQ17" i="2"/>
  <c r="AP17" i="2"/>
  <c r="AO17" i="2"/>
  <c r="AT16" i="2"/>
  <c r="AS16" i="2"/>
  <c r="AR16" i="2"/>
  <c r="AQ16" i="2"/>
  <c r="AP16" i="2"/>
  <c r="AO16" i="2"/>
  <c r="AT14" i="2"/>
  <c r="AS14" i="2"/>
  <c r="AR14" i="2"/>
  <c r="AQ14" i="2"/>
  <c r="AP14" i="2"/>
  <c r="AO14" i="2"/>
  <c r="AT13" i="2"/>
  <c r="AS13" i="2"/>
  <c r="AR13" i="2"/>
  <c r="AQ13" i="2"/>
  <c r="AP13" i="2"/>
  <c r="AO13" i="2"/>
  <c r="AO12" i="2"/>
  <c r="AO11" i="2"/>
  <c r="AO10" i="2"/>
  <c r="AT7" i="2"/>
  <c r="AU7" i="2" s="1"/>
  <c r="AS7" i="2"/>
  <c r="AR7" i="2"/>
  <c r="AQ7" i="2"/>
  <c r="AP7" i="2"/>
  <c r="AO5" i="2"/>
  <c r="AP5" i="2"/>
  <c r="AQ5" i="2"/>
  <c r="AR5" i="2"/>
  <c r="AS5" i="2"/>
  <c r="AT5" i="2"/>
  <c r="AU5" i="2" s="1"/>
  <c r="AO6" i="2"/>
  <c r="AP6" i="2"/>
  <c r="AQ6" i="2"/>
  <c r="AR6" i="2"/>
  <c r="AS6" i="2"/>
  <c r="AT6" i="2"/>
  <c r="AU6" i="2" s="1"/>
  <c r="AO8" i="2"/>
  <c r="AP8" i="2"/>
  <c r="AU8" i="2" s="1"/>
  <c r="AQ8" i="2"/>
  <c r="AR8" i="2"/>
  <c r="AS8" i="2"/>
  <c r="AT8" i="2"/>
  <c r="AO9" i="2"/>
  <c r="AP9" i="2"/>
  <c r="AQ9" i="2"/>
  <c r="AR9" i="2"/>
  <c r="AS9" i="2"/>
  <c r="AT9" i="2"/>
  <c r="AU9" i="2" s="1"/>
  <c r="AP10" i="2"/>
  <c r="AQ10" i="2"/>
  <c r="AR10" i="2"/>
  <c r="AS10" i="2"/>
  <c r="AT10" i="2"/>
  <c r="AU10" i="2" s="1"/>
  <c r="AP11" i="2"/>
  <c r="AQ11" i="2"/>
  <c r="AR11" i="2"/>
  <c r="AS11" i="2"/>
  <c r="AT11" i="2"/>
  <c r="AP12" i="2"/>
  <c r="AQ12" i="2"/>
  <c r="AR12" i="2"/>
  <c r="AS12" i="2"/>
  <c r="AT12" i="2"/>
  <c r="AR4" i="2"/>
  <c r="AU12" i="2"/>
  <c r="AU11" i="2"/>
  <c r="AT4" i="2"/>
  <c r="AS4" i="2"/>
  <c r="AQ4" i="2"/>
  <c r="AP4" i="2"/>
  <c r="AO4" i="2"/>
  <c r="I120" i="3" l="1"/>
  <c r="L120" i="3" s="1"/>
  <c r="L117" i="3"/>
  <c r="AU21" i="2"/>
  <c r="AU20" i="2"/>
  <c r="AU17" i="2"/>
  <c r="AU13" i="2"/>
  <c r="AU19" i="2"/>
  <c r="T17" i="2"/>
  <c r="U17" i="2"/>
  <c r="V17" i="2" s="1"/>
  <c r="U16" i="2"/>
  <c r="T16" i="2"/>
  <c r="U14" i="2"/>
  <c r="T14" i="2"/>
  <c r="T5" i="2"/>
  <c r="U5" i="2"/>
  <c r="V5" i="2"/>
  <c r="T6" i="2"/>
  <c r="U6" i="2"/>
  <c r="V6" i="2" s="1"/>
  <c r="T7" i="2"/>
  <c r="U7" i="2"/>
  <c r="V7" i="2"/>
  <c r="T8" i="2"/>
  <c r="U8" i="2"/>
  <c r="V8" i="2"/>
  <c r="T9" i="2"/>
  <c r="U9" i="2"/>
  <c r="V9" i="2"/>
  <c r="T10" i="2"/>
  <c r="U10" i="2"/>
  <c r="V10" i="2"/>
  <c r="T11" i="2"/>
  <c r="U11" i="2"/>
  <c r="V11" i="2"/>
  <c r="T12" i="2"/>
  <c r="U12" i="2"/>
  <c r="V12" i="2"/>
  <c r="U4" i="2"/>
  <c r="T4" i="2"/>
  <c r="V16" i="2"/>
  <c r="V14" i="2"/>
  <c r="V13" i="2"/>
  <c r="V4" i="2"/>
  <c r="Z18" i="2"/>
  <c r="AA18" i="2"/>
  <c r="Z19" i="2"/>
  <c r="AA19" i="2"/>
  <c r="Z20" i="2"/>
  <c r="AA20" i="2"/>
  <c r="Z21" i="2"/>
  <c r="AA21" i="2"/>
  <c r="AA17" i="2"/>
  <c r="Z17" i="2"/>
  <c r="AA14" i="2"/>
  <c r="Z14" i="2"/>
  <c r="Y5" i="2"/>
  <c r="Z5" i="2"/>
  <c r="AA5" i="2" s="1"/>
  <c r="Y6" i="2"/>
  <c r="Z6" i="2"/>
  <c r="AA6" i="2"/>
  <c r="Y7" i="2"/>
  <c r="Z7" i="2"/>
  <c r="AA7" i="2"/>
  <c r="Y8" i="2"/>
  <c r="Z8" i="2"/>
  <c r="AA8" i="2"/>
  <c r="Y9" i="2"/>
  <c r="Z9" i="2"/>
  <c r="AA9" i="2"/>
  <c r="Y10" i="2"/>
  <c r="Z10" i="2"/>
  <c r="AA10" i="2"/>
  <c r="Y11" i="2"/>
  <c r="Z11" i="2"/>
  <c r="AA11" i="2"/>
  <c r="Y12" i="2"/>
  <c r="Z12" i="2" s="1"/>
  <c r="AA12" i="2" s="1"/>
  <c r="Y13" i="2"/>
  <c r="Z13" i="2"/>
  <c r="AA13" i="2"/>
  <c r="AA4" i="2"/>
  <c r="Z4" i="2"/>
  <c r="AK17" i="2"/>
  <c r="AK7" i="2"/>
  <c r="AI21" i="2"/>
  <c r="AJ21" i="2" s="1"/>
  <c r="AK21" i="2" s="1"/>
  <c r="AI20" i="2"/>
  <c r="AJ20" i="2" s="1"/>
  <c r="AK20" i="2" s="1"/>
  <c r="AI19" i="2"/>
  <c r="AJ19" i="2" s="1"/>
  <c r="AK19" i="2" s="1"/>
  <c r="AI18" i="2"/>
  <c r="AJ18" i="2" s="1"/>
  <c r="AK18" i="2" s="1"/>
  <c r="AI17" i="2"/>
  <c r="AJ17" i="2" s="1"/>
  <c r="AI16" i="2"/>
  <c r="AJ16" i="2" s="1"/>
  <c r="AK16" i="2" s="1"/>
  <c r="AI14" i="2"/>
  <c r="AJ14" i="2" s="1"/>
  <c r="AK14" i="2" s="1"/>
  <c r="AI13" i="2"/>
  <c r="AJ13" i="2" s="1"/>
  <c r="AK13" i="2" s="1"/>
  <c r="AI12" i="2"/>
  <c r="AJ12" i="2" s="1"/>
  <c r="AK12" i="2" s="1"/>
  <c r="AI11" i="2"/>
  <c r="AJ11" i="2" s="1"/>
  <c r="AK11" i="2" s="1"/>
  <c r="AI10" i="2"/>
  <c r="AJ10" i="2" s="1"/>
  <c r="AK10" i="2" s="1"/>
  <c r="AI9" i="2"/>
  <c r="AJ9" i="2" s="1"/>
  <c r="AK9" i="2" s="1"/>
  <c r="AI8" i="2"/>
  <c r="AJ8" i="2" s="1"/>
  <c r="AK8" i="2" s="1"/>
  <c r="AI7" i="2"/>
  <c r="AJ7" i="2" s="1"/>
  <c r="AI6" i="2"/>
  <c r="AJ6" i="2" s="1"/>
  <c r="AK6" i="2" s="1"/>
  <c r="AI5" i="2"/>
  <c r="AJ5" i="2" s="1"/>
  <c r="AK5" i="2" s="1"/>
  <c r="AI4" i="2"/>
  <c r="AJ4" i="2" s="1"/>
  <c r="AK4" i="2" s="1"/>
  <c r="AD20" i="2"/>
  <c r="AE20" i="2" s="1"/>
  <c r="AF20" i="2" s="1"/>
  <c r="AD21" i="2"/>
  <c r="AE21" i="2" s="1"/>
  <c r="AF21" i="2" s="1"/>
  <c r="AD19" i="2"/>
  <c r="AE19" i="2" s="1"/>
  <c r="AF19" i="2" s="1"/>
  <c r="AD18" i="2"/>
  <c r="AE18" i="2" s="1"/>
  <c r="AF18" i="2" s="1"/>
  <c r="AD17" i="2"/>
  <c r="AE17" i="2" s="1"/>
  <c r="AF17" i="2" s="1"/>
  <c r="AD16" i="2"/>
  <c r="AE16" i="2"/>
  <c r="AF16" i="2"/>
  <c r="AD14" i="2"/>
  <c r="AE14" i="2" s="1"/>
  <c r="AF14" i="2" s="1"/>
  <c r="AD6" i="2"/>
  <c r="AE6" i="2" s="1"/>
  <c r="AF6" i="2" s="1"/>
  <c r="AD7" i="2"/>
  <c r="AE7" i="2"/>
  <c r="AF7" i="2" s="1"/>
  <c r="AD8" i="2"/>
  <c r="AE8" i="2" s="1"/>
  <c r="AF8" i="2" s="1"/>
  <c r="AD9" i="2"/>
  <c r="AE9" i="2" s="1"/>
  <c r="AF9" i="2" s="1"/>
  <c r="AD10" i="2"/>
  <c r="AE10" i="2" s="1"/>
  <c r="AF10" i="2" s="1"/>
  <c r="AD11" i="2"/>
  <c r="AE11" i="2" s="1"/>
  <c r="AF11" i="2" s="1"/>
  <c r="AD12" i="2"/>
  <c r="AE12" i="2" s="1"/>
  <c r="AF12" i="2" s="1"/>
  <c r="AD13" i="2"/>
  <c r="AE13" i="2" s="1"/>
  <c r="AF13" i="2" s="1"/>
  <c r="AD5" i="2"/>
  <c r="AE5" i="2"/>
  <c r="AF5" i="2"/>
  <c r="AD4" i="2"/>
  <c r="AE4" i="2" s="1"/>
  <c r="AF4" i="2" s="1"/>
  <c r="Y21" i="2"/>
  <c r="Y20" i="2"/>
  <c r="Y19" i="2"/>
  <c r="Y18" i="2"/>
  <c r="Y17" i="2"/>
  <c r="Y14" i="2"/>
  <c r="Y4" i="2"/>
  <c r="O21" i="2"/>
  <c r="P21" i="2" s="1"/>
  <c r="Q21" i="2" s="1"/>
  <c r="O20" i="2"/>
  <c r="P20" i="2" s="1"/>
  <c r="Q20" i="2" s="1"/>
  <c r="O19" i="2"/>
  <c r="P19" i="2" s="1"/>
  <c r="Q19" i="2" s="1"/>
  <c r="O18" i="2"/>
  <c r="P18" i="2" s="1"/>
  <c r="Q18" i="2" s="1"/>
  <c r="O17" i="2"/>
  <c r="P17" i="2" s="1"/>
  <c r="Q17" i="2" s="1"/>
  <c r="O16" i="2"/>
  <c r="P16" i="2" s="1"/>
  <c r="Q16" i="2" s="1"/>
  <c r="O14" i="2"/>
  <c r="P14" i="2" s="1"/>
  <c r="Q14" i="2" s="1"/>
  <c r="O13" i="2"/>
  <c r="P13" i="2" s="1"/>
  <c r="Q13" i="2" s="1"/>
  <c r="O12" i="2"/>
  <c r="P12" i="2" s="1"/>
  <c r="Q12" i="2" s="1"/>
  <c r="O11" i="2"/>
  <c r="P11" i="2" s="1"/>
  <c r="Q11" i="2" s="1"/>
  <c r="O10" i="2"/>
  <c r="P10" i="2" s="1"/>
  <c r="Q10" i="2" s="1"/>
  <c r="O9" i="2"/>
  <c r="P9" i="2" s="1"/>
  <c r="Q9" i="2" s="1"/>
  <c r="O8" i="2"/>
  <c r="P8" i="2" s="1"/>
  <c r="Q8" i="2" s="1"/>
  <c r="O7" i="2"/>
  <c r="P7" i="2" s="1"/>
  <c r="Q7" i="2" s="1"/>
  <c r="O6" i="2"/>
  <c r="P6" i="2" s="1"/>
  <c r="Q6" i="2" s="1"/>
  <c r="O5" i="2"/>
  <c r="P5" i="2" s="1"/>
  <c r="Q5" i="2" s="1"/>
  <c r="O4" i="2"/>
  <c r="P4" i="2" s="1"/>
  <c r="Q4" i="2" s="1"/>
  <c r="J21" i="2"/>
  <c r="K21" i="2" s="1"/>
  <c r="L21" i="2" s="1"/>
  <c r="J20" i="2"/>
  <c r="K20" i="2" s="1"/>
  <c r="L20" i="2" s="1"/>
  <c r="J19" i="2"/>
  <c r="K19" i="2" s="1"/>
  <c r="L19" i="2" s="1"/>
  <c r="J18" i="2"/>
  <c r="K18" i="2" s="1"/>
  <c r="L18" i="2" s="1"/>
  <c r="J17" i="2"/>
  <c r="K17" i="2" s="1"/>
  <c r="L17" i="2" s="1"/>
  <c r="J16" i="2"/>
  <c r="K16" i="2" s="1"/>
  <c r="L16" i="2" s="1"/>
  <c r="J14" i="2"/>
  <c r="K14" i="2" s="1"/>
  <c r="J13" i="2"/>
  <c r="K13" i="2" s="1"/>
  <c r="L13" i="2" s="1"/>
  <c r="J12" i="2"/>
  <c r="K12" i="2" s="1"/>
  <c r="L12" i="2" s="1"/>
  <c r="J11" i="2"/>
  <c r="K11" i="2" s="1"/>
  <c r="L11" i="2" s="1"/>
  <c r="J10" i="2"/>
  <c r="K10" i="2" s="1"/>
  <c r="J9" i="2"/>
  <c r="K9" i="2" s="1"/>
  <c r="J8" i="2"/>
  <c r="K8" i="2"/>
  <c r="J7" i="2"/>
  <c r="K7" i="2" s="1"/>
  <c r="J6" i="2"/>
  <c r="K6" i="2" s="1"/>
  <c r="J5" i="2"/>
  <c r="K5" i="2" s="1"/>
  <c r="J4" i="2"/>
  <c r="K4" i="2" s="1"/>
  <c r="V22" i="2" l="1"/>
  <c r="AA22" i="2"/>
  <c r="AK22" i="2"/>
  <c r="L14" i="2"/>
  <c r="L4" i="2"/>
  <c r="L5" i="2"/>
  <c r="L6" i="2"/>
  <c r="L7" i="2"/>
  <c r="Q22" i="2"/>
  <c r="L10" i="2"/>
  <c r="L9" i="2"/>
  <c r="L8" i="2"/>
  <c r="AU16" i="2" l="1"/>
  <c r="AU4" i="2"/>
  <c r="L22" i="2"/>
  <c r="AU14" i="2"/>
</calcChain>
</file>

<file path=xl/sharedStrings.xml><?xml version="1.0" encoding="utf-8"?>
<sst xmlns="http://schemas.openxmlformats.org/spreadsheetml/2006/main" count="477" uniqueCount="118">
  <si>
    <t>UNIDAD MEDIDA</t>
  </si>
  <si>
    <t>VALOR UNITARIO ANTES DE IVA</t>
  </si>
  <si>
    <t>VALOR IVA</t>
  </si>
  <si>
    <t>ITEM</t>
  </si>
  <si>
    <t>DESCRIPCIÓN DEL BIEN Y/O SERVICIO</t>
  </si>
  <si>
    <t>NECESIDAD</t>
  </si>
  <si>
    <t>VALOR INCLUIDO IVA</t>
  </si>
  <si>
    <t>VALOR TOTAL</t>
  </si>
  <si>
    <r>
      <t xml:space="preserve">SILLA GERENCIAL
</t>
    </r>
    <r>
      <rPr>
        <sz val="12"/>
        <rFont val="Arial"/>
        <family val="2"/>
      </rPr>
      <t xml:space="preserve">
Mecanismo Syncro 4 bloqueos con sistema antishock y slider (ajuste de profundidad del asiento)
Permite reclinar el respaldo y deslizar el asiento de forma suave, brindando soporte en distintas posturas.
Ajuste de tensión del espaldar con bloqueo de inclinación delantera, ideal para mantener la postura correcta.
Respaldo ajustable en altura con mecanismo Up-Down de 6 posiciones.
Apoyo lumbar con control de tensión, Cabecero regulable en altura (8 posiciones) e inclinación (4 posiciones).
Brazos 5D en aluminio pulido con pad en poliuretano, ajustables en altura, profundidad, giro, amplitud y elevación.
Base de aluminio de 350 mm con acabado pulido.
Ruedas en goma (PU) de 60 mm
Tapizado en malla tipo poliéster y nylon, que proporciona transpirabilidad
Peso máximo soportado: 150 kg.
Dimensiones (mm)
Ancho total: 680
Altura total: 1.170 – 1.260
Altura del asiento: 440 – 530
Peso neto: 25,57 kg
Volumen empaque: 0,33 m³</t>
    </r>
  </si>
  <si>
    <t>UND</t>
  </si>
  <si>
    <r>
      <t xml:space="preserve">MUEBLE TIPO SOFA
</t>
    </r>
    <r>
      <rPr>
        <sz val="12"/>
        <rFont val="Arial"/>
        <family val="2"/>
      </rPr>
      <t>Sofá de 5 puestos de lujo, longitud mínima 3,5 m, estructura en madera maciza secada en horno, suspensión mediante muelles ensacados o acero zig-zag reforzado, asientos en espuma HR de densidad mínima 40 kg/m³ con capa viscoelástica y envolvente de plumón, respaldo en mezcla de plumón y fibra siliconada, tapizado en cuero flor completa o tejido premium superior a 50.000 ciclos Martindale, profundidad útil mínima de 70 cm, capacidad de carga mínima de 120 kg por asiento.</t>
    </r>
  </si>
  <si>
    <t>IMAGEN DE REFERENCIA</t>
  </si>
  <si>
    <r>
      <t xml:space="preserve">SILLA INTERLOCUTORA
</t>
    </r>
    <r>
      <rPr>
        <sz val="12"/>
        <rFont val="Arial"/>
        <family val="2"/>
      </rPr>
      <t xml:space="preserve">
</t>
    </r>
    <r>
      <rPr>
        <b/>
        <sz val="12"/>
        <rFont val="Arial"/>
        <family val="2"/>
      </rPr>
      <t>Estructura:</t>
    </r>
    <r>
      <rPr>
        <sz val="12"/>
        <rFont val="Arial"/>
        <family val="2"/>
      </rPr>
      <t xml:space="preserve"> metálica fija tipo trineo tubo redondo 1” Cal 16 con terminación en cromo y soportes plásticos blancos.
Asiento: ergonómico Abullonado en espuma de alta densidad, tapizado en tela malla antitranspirante, color negro.
Espaldar: ergonómico marco en polipropileno de alto impacto, con malla traslucida color negro.
Resistencia:</t>
    </r>
    <r>
      <rPr>
        <b/>
        <sz val="12"/>
        <rFont val="Arial"/>
        <family val="2"/>
      </rPr>
      <t xml:space="preserve"> </t>
    </r>
    <r>
      <rPr>
        <sz val="12"/>
        <rFont val="Arial"/>
        <family val="2"/>
      </rPr>
      <t xml:space="preserve">Hasta 120 kg.
Apoya brazos fijos en polipropileno de alto impacto color blanco.
Con armado
</t>
    </r>
    <r>
      <rPr>
        <b/>
        <sz val="12"/>
        <rFont val="Arial"/>
        <family val="2"/>
      </rPr>
      <t>DIMENSIONES Y PESO</t>
    </r>
    <r>
      <rPr>
        <sz val="12"/>
        <rFont val="Arial"/>
        <family val="2"/>
      </rPr>
      <t xml:space="preserve">
90 cm Altura total.
55 cm Ancho total.
48 cm Profundidad total.
</t>
    </r>
    <r>
      <rPr>
        <b/>
        <sz val="12"/>
        <rFont val="Arial"/>
        <family val="2"/>
      </rPr>
      <t>Espaldar:</t>
    </r>
    <r>
      <rPr>
        <sz val="12"/>
        <rFont val="Arial"/>
        <family val="2"/>
      </rPr>
      <t xml:space="preserve">
46 cm Alto.
43 cm Ancho.
</t>
    </r>
    <r>
      <rPr>
        <b/>
        <sz val="12"/>
        <rFont val="Arial"/>
        <family val="2"/>
      </rPr>
      <t>Asiento:</t>
    </r>
    <r>
      <rPr>
        <sz val="12"/>
        <rFont val="Arial"/>
        <family val="2"/>
      </rPr>
      <t xml:space="preserve">
48 cm Profundidad.
53 cm Ancho.
44 cm altura</t>
    </r>
  </si>
  <si>
    <r>
      <t>SILLA GIRATORIA
Dimensiones Espaldar:</t>
    </r>
    <r>
      <rPr>
        <sz val="12"/>
        <rFont val="Arial"/>
        <family val="2"/>
      </rPr>
      <t xml:space="preserve"> Alto 64 cm, Ancho 46 cm y Espesor 5 cm. Mecanismo Espaldar: Sistema reclinable, ajustable en altura y profundidad.
</t>
    </r>
    <r>
      <rPr>
        <b/>
        <sz val="12"/>
        <rFont val="Arial"/>
        <family val="2"/>
      </rPr>
      <t xml:space="preserve">Asiento: </t>
    </r>
    <r>
      <rPr>
        <sz val="12"/>
        <rFont val="Arial"/>
        <family val="2"/>
      </rPr>
      <t xml:space="preserve">Ergonómico con espuma inyectada de alta durabilidad (en poliuretano, densidad de 57 /- 5 kg/m); con borde redondeado
</t>
    </r>
    <r>
      <rPr>
        <b/>
        <sz val="12"/>
        <rFont val="Arial"/>
        <family val="2"/>
      </rPr>
      <t xml:space="preserve">Dimensiones Asiento: </t>
    </r>
    <r>
      <rPr>
        <sz val="12"/>
        <rFont val="Arial"/>
        <family val="2"/>
      </rPr>
      <t xml:space="preserve">Ancho 51 cm, Profundidad 45 cm y Espesor 7,5 cm. Mecanismo
</t>
    </r>
    <r>
      <rPr>
        <b/>
        <sz val="12"/>
        <rFont val="Arial"/>
        <family val="2"/>
      </rPr>
      <t xml:space="preserve">Asiento: </t>
    </r>
    <r>
      <rPr>
        <sz val="12"/>
        <rFont val="Arial"/>
        <family val="2"/>
      </rPr>
      <t xml:space="preserve">Ajustable en altura,
</t>
    </r>
    <r>
      <rPr>
        <b/>
        <sz val="12"/>
        <rFont val="Arial"/>
        <family val="2"/>
      </rPr>
      <t>Tela:</t>
    </r>
    <r>
      <rPr>
        <sz val="12"/>
        <rFont val="Arial"/>
        <family val="2"/>
      </rPr>
      <t xml:space="preserve"> Paño 
</t>
    </r>
    <r>
      <rPr>
        <b/>
        <sz val="12"/>
        <rFont val="Arial"/>
        <family val="2"/>
      </rPr>
      <t xml:space="preserve">Color: </t>
    </r>
    <r>
      <rPr>
        <sz val="12"/>
        <rFont val="Arial"/>
        <family val="2"/>
      </rPr>
      <t xml:space="preserve">Negra, 
Tela antifluido de fácil limpieza,100% Poliéster, Retardancia al fuego que no produce calor 
</t>
    </r>
    <r>
      <rPr>
        <b/>
        <sz val="12"/>
        <rFont val="Arial"/>
        <family val="2"/>
      </rPr>
      <t>Sistema elevación:</t>
    </r>
    <r>
      <rPr>
        <sz val="12"/>
        <rFont val="Arial"/>
        <family val="2"/>
      </rPr>
      <t xml:space="preserve"> Neumático, regulable
</t>
    </r>
    <r>
      <rPr>
        <b/>
        <sz val="12"/>
        <rFont val="Arial"/>
        <family val="2"/>
      </rPr>
      <t xml:space="preserve">Brazos Ajustables: </t>
    </r>
    <r>
      <rPr>
        <sz val="12"/>
        <rFont val="Arial"/>
        <family val="2"/>
      </rPr>
      <t xml:space="preserve">Permite graduar la altura (5 posiciones). El apoyo del codo elaborado de un material blando (poliuretano).
Base Acabado cromado, diámetro 62 cm.
</t>
    </r>
    <r>
      <rPr>
        <b/>
        <sz val="12"/>
        <rFont val="Arial"/>
        <family val="2"/>
      </rPr>
      <t xml:space="preserve">Giratoria: </t>
    </r>
    <r>
      <rPr>
        <sz val="12"/>
        <rFont val="Arial"/>
        <family val="2"/>
      </rPr>
      <t>Rodachinas (50 mm), en Nylon, doble pista y giro 360 grados</t>
    </r>
  </si>
  <si>
    <r>
      <t xml:space="preserve">Puesto De Trabajo
</t>
    </r>
    <r>
      <rPr>
        <sz val="12"/>
        <rFont val="Arial"/>
        <family val="2"/>
      </rPr>
      <t>Escritorio Material Estructura Metálica En Tubo Cuadrado Abierto 2*2 Cal, 18 Color Negro
Superficie En  Tablex De 30 Mm Encapado En Fórmica color Ébano África
Alto 72 Cm, Ancho 150 Cm, Profundidad 70 Cm
Cajonera Móvil metálica de Tres Gavetas Con Cerradura, color negro
Pantalla Divisora Lateral (01 ) Y Frontal (01) Forrada En Paño
Canaleta Inferior Metálica Para Conexión - Con armado</t>
    </r>
  </si>
  <si>
    <r>
      <t xml:space="preserve">Mesa de junta
</t>
    </r>
    <r>
      <rPr>
        <sz val="12"/>
        <rFont val="Arial"/>
        <family val="2"/>
      </rPr>
      <t>Estructura en tubo metálico cuadrado calibre 16 de 3*2” con pintura electrostática, sólida y sin juego, color negro.
Superficie: Tablero en madrera de 25 mm enchapada en fórmica, forma ovalada, color blanco con textura.
Medidas: alto 73 cm, largo 210 cm, ancho 120 cm - Con armado</t>
    </r>
  </si>
  <si>
    <r>
      <t xml:space="preserve">Escritorio gerencia en L
</t>
    </r>
    <r>
      <rPr>
        <sz val="12"/>
        <rFont val="Arial"/>
        <family val="2"/>
      </rPr>
      <t>material estructura metálico en tubo cuadrado abierto 2*2 cal, 18 color negro superficie en  tablex de 30 mm encapado en fórmica color natural falda en tablex enchapada en fórmica.
Medidas: alto 71 cm, largo 170 cm, profundidad 170 cm.
Cajonera móvil en metal de tres gavetas con cerradura.
Canaleta inferior metálica para conexión - Con armado</t>
    </r>
  </si>
  <si>
    <r>
      <t xml:space="preserve">Escritorio secretarial </t>
    </r>
    <r>
      <rPr>
        <sz val="12"/>
        <rFont val="Arial"/>
        <family val="2"/>
      </rPr>
      <t>de 1.20 de largo x 60 de fondo x 73 de alto con superficie el aglomerado de 25 mm con enchape el fornica color según requerimiento, terminado en bordes en canto rígido. Cajonera metálica de tres cajones, pintada en laca color negro/gris. Pedestal en H pintado en laca color negro/gris.</t>
    </r>
  </si>
  <si>
    <r>
      <t xml:space="preserve">Archivador rodante, 
</t>
    </r>
    <r>
      <rPr>
        <sz val="12"/>
        <rFont val="Arial"/>
        <family val="2"/>
      </rPr>
      <t>sistema de almacenamiento móvil para archivo físico, fabricado en estructura metálica de alta resistencia, dotado de rieles de desplazamiento, mecanismos de rodamiento suave y seguro, y sistema de bloqueo y cierre para control de acceso. cuenta con acabado anticorrosivo y está diseñado para la organización, custodia y conservación de la documentación institucional. 
El archivador rodante tiene una capacidad aproximada para ciento noventa (190) cajas tipo X-200, con dimensiones aproximadas de 210 cm de alto por 240 cm de ancho, y una profundidad de estantes entre 30 y 40 cm, lo que permite optimizar el almacenamiento y la correcta disposición de las cajas de archivo tipo X-200. 
El bien incluye instalación y ajuste en el espacio asignado, garantizando su adecuado funcionamiento y adaptación a las condiciones físicas del lugar</t>
    </r>
  </si>
  <si>
    <r>
      <t xml:space="preserve">PUPITRE
</t>
    </r>
    <r>
      <rPr>
        <sz val="12"/>
        <rFont val="Arial"/>
        <family val="2"/>
      </rPr>
      <t>Espaldar Fabricado en polipropileno (PP) de alta resistencia.
Recubierto con malla transpirable que permite una correcta ventilación.
Diseño ergonómico que se adapta a la curvatura lumbar y dorsal
Estructura
Marco metálico en hierro negro de alta durabilidad.
Brazos y Paleta
Brazos deslizantes en polipropileno para mayor adaptabilidad.
Tableta de escritura abatible integrada para una experiencia de trabajo o estudio más cómoda.
Portavaso oculto para mantener el orden y evitar accidentes.
Asiento Relleno de espuma de alta densidad
Sistema Abatible
Con carcasa inferior protectora que prolonga la vida útil del asiento.
Diseño compacto
Dimensiones referenciales
Ancho total: 585 mm
Profundidad total: 530 mm
Altura total: 820 mm
Altura al asiento: 460 mm</t>
    </r>
  </si>
  <si>
    <r>
      <t xml:space="preserve">MESA DE JUNTAS
</t>
    </r>
    <r>
      <rPr>
        <sz val="12"/>
        <rFont val="Arial"/>
        <family val="2"/>
      </rPr>
      <t>Mesa de juntas desarmable de 6 puestos, 
Formica de 30 mm, medidas. 2.20 x 1.10 / 1.80 x 1.00 / 1.60 x 1.00 / 1.50 x 0.90
Vidrio transparente de 19 mm, medidas. 2.20 x 1.10 / 1.80 x 1.00 / 1.60 x 1.00 / 1.50 x 0.90
Estructura: Tubo elíptico calibre 18 de 2.33” cromado ò en pintura electroestática, niveladores plásticos de protección, travesaño de 4 x8 calibre 16
•Ducto para cableado troquelado</t>
    </r>
  </si>
  <si>
    <r>
      <t xml:space="preserve">ARMARIO METÁLICO MULTIUSOS MEDIANO
</t>
    </r>
    <r>
      <rPr>
        <sz val="12"/>
        <rFont val="Arial"/>
        <family val="2"/>
      </rPr>
      <t>Dimensiones Alto: 80 cm
•Ancho:  100 cm
•Fondo:  50 cm
Estructura
Cantidad: 3 entrepaños (mínimo)
•Material: lamina coll rolled calibre 22 y 16
•Correderas: Metálicas telescópicas
•Sistema de cierre: Cerradura centralizada
•Manijas: Metálicas o embebidas
•Base: Con zócalo inferior o patas niveladoras antideslizantes
Acabados
•Recubrimiento: Melamina de alta resistencia
•Color: por definir por el supervisor de contrato
•Puertas: Enchapado tipo madera clara (roble, haya o similar)
•Resistencia: Alta resistencia a rayones, humedad moderada y desgaste
Puertas
•Tipo: Abatibles (2 hojas)
•Material: lamina coll rolled calibre 22 y 16
•Bisagras: Metálicas tipo cazoleta (mínimo 2 por puerta)
•Sistema de cierre: Cerradura con llave
•Manijas: Metálicas, acabado satinado o cromado
Compartimientos internos
•Configuración: Mínimo tres entrepaños internos
•TIP-ON ajustable
Capacidad de carga
•Entrepaños: mínimo 25 kg distribuidos
•Superficie superior: mínimo 30 kg
Nivelación
•Incluye niveladores plásticos o metálicos para ajuste en superficies irregulares
Seguridad
•Sistema de cierre con llave
•Bordes sellados (canto en PVC mínimo 0.5 mm)
•Estructura estable antivuelco</t>
    </r>
  </si>
  <si>
    <r>
      <t xml:space="preserve">ARCHIVADOR RODANTE MECÁNICO - BIBLIOTECA
</t>
    </r>
    <r>
      <rPr>
        <sz val="12"/>
        <rFont val="Arial"/>
        <family val="2"/>
      </rPr>
      <t>para almacenamiento de libros o AZ. con puerta. elaborado en lamina cold rolled, pintura electrostática. total 12 unidades de consulta, (2 unidades fijas, cuatro rodantes).
Medidas: fondo 1,10 mt, ancho 4,82 mt, alto 2,04 mt, 5 entrepaños de 35,5cm, base entrepaño de 9 cm, en sistema de polea, manivela y cadena
Elaborado en ángulo estructural, que garantiza una resistencia de 2 toneladas; 
• rieles: base riel elaborada en ángulo, y la unión de dos ángulos que garantiza estabilidad y fácil desplazamiento del carro antivuelco.
• manija para el sistema mecánico: elaborada en platina con pivotes en acero col rolle maquinado; manija diseñada a manera de volante lo que facilita la manipulación del sistema. 
• panelería o terminados exteriores: de acuerdo con lo recomendado para almacenamiento de libros o AZ
• paral o columna: fabricada en lámina col rolle calibre 16 punzonada con sistema de soporte tipo cremallera; posee templetes en diagonal elaborados en platina con un tensor de ajuste lo que permite dar la rigidez y estabilidad que necesita.
• entrepaños, pisos y techos: modulares sin tornillos; con una resistencia de total de 120 kilogramos, con doblez frontal.  (incluida instalación y puesta en funcionamiento).
• Enchapado exterior en formica color institucional a elección del supervisor del contrato en acompañamiento del delegado de la biblioteca por la unidad
*Las medidas deben ser confirmadas antes de la fabricación.</t>
    </r>
  </si>
  <si>
    <r>
      <t xml:space="preserve">ESTANTERIA (RACK)
</t>
    </r>
    <r>
      <rPr>
        <sz val="12"/>
        <rFont val="Arial"/>
        <family val="2"/>
      </rPr>
      <t>Medidas: alto 200cm, ancho 180 cm, profundidad 60 cm
Carga 200 kg.
Niveles: 6
Marco F80, viga 150 kg, 
Tendido metálico alfajor
Pintura en polvo termofijada basada en resina poliéster de acabado LISO BRILLANTE Azul cobalto liso b hibrido y naranja industrial liso B poliéster</t>
    </r>
  </si>
  <si>
    <r>
      <t xml:space="preserve">REPOSA PIES
</t>
    </r>
    <r>
      <rPr>
        <sz val="12"/>
        <rFont val="Arial"/>
        <family val="2"/>
      </rPr>
      <t>Dimensiones plataforma: 46 cm x 35 cm. Altura ajustable a 13. 8 cm, 15 y 18 cm (3 alturas). Plataforma con burbujas para masajear los pies. Fabricado en plástico de alto impacto. Color: negro.</t>
    </r>
  </si>
  <si>
    <r>
      <t xml:space="preserve">ESTIBA PLASTICA
</t>
    </r>
    <r>
      <rPr>
        <sz val="12"/>
        <rFont val="Arial"/>
        <family val="2"/>
      </rPr>
      <t>Estiba de Piso 
Dimensiones: Largo x Ancho x Altura
60 cm × 60 cm × 2.5 cm
Capacidad de Carga: Soporta entre 250 kg y 500 kg dependiendo del diseño específico
Color negro
Diseño: Estructura modular apilable y de encaje, tipo americano</t>
    </r>
  </si>
  <si>
    <r>
      <t xml:space="preserve">ESCRITORIO GERENCIAL EN “L”
</t>
    </r>
    <r>
      <rPr>
        <sz val="12"/>
        <rFont val="Arial"/>
        <family val="2"/>
      </rPr>
      <t xml:space="preserve">Escritorio gerencial en “L” con superficie en vidrio y módulo auxiliar con cajonera.
•Dimensiones: (referenciales mínimas) 160 x 75 x 120 cm
•Largo módulo lateral: 100  cm
•Ancho módulo lateral: 40 – 50 cm
•Alto: módulo lateral 70 cm
(Las dimensiones podrán ajustarse según requerimiento institucional, manteniendo proporcionalidad ergonómica).
</t>
    </r>
    <r>
      <rPr>
        <b/>
        <sz val="12"/>
        <rFont val="Arial"/>
        <family val="2"/>
      </rPr>
      <t>Superficie</t>
    </r>
    <r>
      <rPr>
        <sz val="12"/>
        <rFont val="Arial"/>
        <family val="2"/>
      </rPr>
      <t xml:space="preserve">
•Material: Vidrio templado
•Espesor mínimo: 10 mm
•Color: Transparente o ahumado
•Bordes: Pulidos y biselados
•Resistencia: Alta resistencia a impacto moderado y cargas de trabajo de oficina
</t>
    </r>
    <r>
      <rPr>
        <b/>
        <sz val="12"/>
        <rFont val="Arial"/>
        <family val="2"/>
      </rPr>
      <t>Estructura</t>
    </r>
    <r>
      <rPr>
        <sz val="12"/>
        <rFont val="Arial"/>
        <family val="2"/>
      </rPr>
      <t xml:space="preserve">
•Material: Acero tubular o metálico de alta resistencia. Tubo elíptico calibre 18 de 2.33” travesaño de 4 x8 calibre 16
•Acabado: cromado o en pintura electroestática (de acuerdo a solicitud del supervisor)
•Color: Negro, gris o cromado
•Tipo de soporte: Patas metálicas con niveladores plásticos antideslizantes
•Panel frontal: Lámina metálica microperforada para estética y ventilación
Módulo lateral (ala)
•Tipo: Extensión lateral fija o independiente
•Material estructura: Metálico 
•Superficie: Vidrio templado o madera laminada
</t>
    </r>
  </si>
  <si>
    <r>
      <t xml:space="preserve">Cajonera
</t>
    </r>
    <r>
      <rPr>
        <sz val="12"/>
        <rFont val="Arial"/>
        <family val="2"/>
      </rPr>
      <t>•Cantidad: 3 cajones
•Material: lamina coll rolled calibre 22 y 16
•Correderas: Metálicas telescópicas
•Sistema de cierre: Cerradura centralizada
•Manijas: Metálicas o embebidas
•Capacidad: Archivo y almacenamiento de documentos
Capacidad de carga
•Superficie principal: mínimo 50 kg distribuidos
•Módulo lateral: mínimo 30 kg
Ergonomía
•Altura estándar acorde a normativas de ergonomía laboral
•Espacio libre inferior para movilidad de piernas
Acabados
•Superficie lisa, libre de imperfecciones
•Bordes seguros (sin filos cortantes)
•Materiales resistentes a rayones y fácil limpieza
Color
•Estructura: Negro, gris o cromado
•Cajonera: Negro o tono madera oscura
•Vidrio: Transparente o ahumado
Incluye transporte, instalación y puesta en funcionamiento.</t>
    </r>
  </si>
  <si>
    <t>ADC DECORACIONES SAS - NIT: 830,014,921 - 0</t>
  </si>
  <si>
    <t>AMERICAN SERVICE CNC SAS - NIT: 901,264,998 - 6</t>
  </si>
  <si>
    <t>MINIMO</t>
  </si>
  <si>
    <t xml:space="preserve">PROMEDIO </t>
  </si>
  <si>
    <t xml:space="preserve">MEDIANA </t>
  </si>
  <si>
    <t xml:space="preserve">MEDIA GEOMETRICA </t>
  </si>
  <si>
    <t>MEDIA ARMONICA</t>
  </si>
  <si>
    <t>DESVIACION ESTANDAR</t>
  </si>
  <si>
    <t>DISPERSION</t>
  </si>
  <si>
    <t xml:space="preserve">THE BEST OFFICE - NIT: </t>
  </si>
  <si>
    <t>WILCAR SOLUCIONES ERGONOMICAS - NIT: 900223702-4</t>
  </si>
  <si>
    <t>SOLID GROUP SAS - NIT: 900498362</t>
  </si>
  <si>
    <t xml:space="preserve">AVANTIKA COLOMBIA SAS - NIT: 890.101.977 – 3 </t>
  </si>
  <si>
    <t>A-02-01-01-003-008</t>
  </si>
  <si>
    <t>RUBRO</t>
  </si>
  <si>
    <t>UNIDAD</t>
  </si>
  <si>
    <t>CEDOE</t>
  </si>
  <si>
    <t>MUEBLES, INSTRUMENTOS MUSICALES, ARTÍCULOS DE DEPORTE Y ANTIGUEDADES</t>
  </si>
  <si>
    <t>CLASIFICADOR POR OBJETO DEL GASTO</t>
  </si>
  <si>
    <t>NOMBRE CUENTA</t>
  </si>
  <si>
    <t>EXISTENCIAS (STOCK  INVENTARIOS)</t>
  </si>
  <si>
    <t>**IMAGEN DE REFERENCIA**</t>
  </si>
  <si>
    <t>VALOR UNITARIO</t>
  </si>
  <si>
    <r>
      <t xml:space="preserve">SILLA GERENCIAL
</t>
    </r>
    <r>
      <rPr>
        <sz val="7"/>
        <rFont val="Arial"/>
        <family val="2"/>
      </rPr>
      <t xml:space="preserve">
Mecanismo Syncro 4 bloqueos con sistema antishock y slider (ajuste de profundidad del asiento)
Permite reclinar el respaldo y deslizar el asiento de forma suave, brindando soporte en distintas posturas.
Ajuste de tensión del espaldar con bloqueo de inclinación delantera, ideal para mantener la postura correcta.
Respaldo ajustable en altura con mecanismo Up-Down de 6 posiciones.
Apoyo lumbar con control de tensión, Cabecero regulable en altura (8 posiciones) e inclinación (4 posiciones).
Brazos 5D en aluminio pulido con pad en poliuretano, ajustables en altura, profundidad, giro, amplitud y elevación.
Base de aluminio de 350 mm con acabado pulido.
Ruedas en goma (PU) de 60 mm
Tapizado en malla tipo poliéster y nylon, que proporciona transpirabilidad
Peso máximo soportado: 150 kg.
Dimensiones (mm)
Ancho total: 680
Altura total: 1.170 – 1.260
Altura del asiento: 440 – 530
Peso neto: 25,57 kg
Volumen empaque: 0,33 m³</t>
    </r>
  </si>
  <si>
    <r>
      <t xml:space="preserve">MUEBLE TIPO SOFA
</t>
    </r>
    <r>
      <rPr>
        <sz val="7"/>
        <rFont val="Arial"/>
        <family val="2"/>
      </rPr>
      <t>Sofá de 5 puestos de lujo, longitud mínima 3,5 m, estructura en madera maciza secada en horno, suspensión mediante muelles ensacados o acero zig-zag reforzado, asientos en espuma HR de densidad mínima 40 kg/m³ con capa viscoelástica y envolvente de plumón, respaldo en mezcla de plumón y fibra siliconada, tapizado en cuero flor completa o tejido premium superior a 50.000 ciclos Martindale, profundidad útil mínima de 70 cm, capacidad de carga mínima de 120 kg por asiento.</t>
    </r>
  </si>
  <si>
    <t>DIEDU</t>
  </si>
  <si>
    <r>
      <t xml:space="preserve">Puesto De Trabajo
</t>
    </r>
    <r>
      <rPr>
        <sz val="7"/>
        <rFont val="Arial"/>
        <family val="2"/>
      </rPr>
      <t>Escritorio Material Estructura Metálica En Tubo Cuadrado Abierto 2*2 Cal, 18 Color Negro
Superficie En  Tablex De 30 Mm Encapado En Fórmica color Ébano África
Alto 72 Cm, Ancho 150 Cm, Profundidad 70 Cm
Cajonera Móvil metálica de Tres Gavetas Con Cerradura, color negro
Pantalla Divisora Lateral (01 ) Y Frontal (01) Forrada En Paño
Canaleta Inferior Metálica Para Conexión - Con armado</t>
    </r>
  </si>
  <si>
    <r>
      <t xml:space="preserve">Mesa de junta
</t>
    </r>
    <r>
      <rPr>
        <sz val="7"/>
        <rFont val="Arial"/>
        <family val="2"/>
      </rPr>
      <t>Estructura en tubo metálico cuadrado calibre 16 de 3*2” con pintura electrostática, sólida y sin juego, color negro.
Superficie: Tablero en madrera de 25 mm enchapada en fórmica, forma ovalada, color blanco con textura.
Medidas: alto 73 cm, largo 210 cm, ancho 120 cm - Con armado</t>
    </r>
  </si>
  <si>
    <r>
      <t xml:space="preserve">Escritorio gerencia en L
</t>
    </r>
    <r>
      <rPr>
        <sz val="7"/>
        <rFont val="Arial"/>
        <family val="2"/>
      </rPr>
      <t>material estructura metálico en tubo cuadrado abierto 2*2 cal, 18 color negro superficie en  tablex de 30 mm encapado en fórmica color natural falda en tablex enchapada en fórmica.
Medidas: alto 71 cm, largo 170 cm, profundidad 170 cm.
Cajonera móvil en metal de tres gavetas con cerradura.
Canaleta inferior metálica para conexión - Con armado</t>
    </r>
  </si>
  <si>
    <t>OTROS BIENES TRANSPORTABLES N.C.P.</t>
  </si>
  <si>
    <t>A-02-02-01-003-008</t>
  </si>
  <si>
    <r>
      <t xml:space="preserve">SILLA INTERLOCUTORA
</t>
    </r>
    <r>
      <rPr>
        <sz val="7"/>
        <rFont val="Arial"/>
        <family val="2"/>
      </rPr>
      <t xml:space="preserve">
</t>
    </r>
    <r>
      <rPr>
        <b/>
        <sz val="7"/>
        <rFont val="Arial"/>
        <family val="2"/>
      </rPr>
      <t>Estructura:</t>
    </r>
    <r>
      <rPr>
        <sz val="7"/>
        <rFont val="Arial"/>
        <family val="2"/>
      </rPr>
      <t xml:space="preserve"> metálica fija tipo trineo tubo redondo 1” Cal 16 con terminación en cromo y soportes plásticos blancos.
Asiento: ergonómico Abullonado en espuma de alta densidad, tapizado en tela malla antitranspirante, color negro.
Espaldar: ergonómico marco en polipropileno de alto impacto, con malla traslucida color negro.
Resistencia:</t>
    </r>
    <r>
      <rPr>
        <b/>
        <sz val="7"/>
        <rFont val="Arial"/>
        <family val="2"/>
      </rPr>
      <t xml:space="preserve"> </t>
    </r>
    <r>
      <rPr>
        <sz val="7"/>
        <rFont val="Arial"/>
        <family val="2"/>
      </rPr>
      <t xml:space="preserve">Hasta 120 kg.
Apoya brazos fijos en polipropileno de alto impacto color blanco.
Con armado
</t>
    </r>
    <r>
      <rPr>
        <b/>
        <sz val="7"/>
        <rFont val="Arial"/>
        <family val="2"/>
      </rPr>
      <t>DIMENSIONES Y PESO</t>
    </r>
    <r>
      <rPr>
        <sz val="7"/>
        <rFont val="Arial"/>
        <family val="2"/>
      </rPr>
      <t xml:space="preserve">
90 cm Altura total.
55 cm Ancho total.
48 cm Profundidad total.
</t>
    </r>
    <r>
      <rPr>
        <b/>
        <sz val="7"/>
        <rFont val="Arial"/>
        <family val="2"/>
      </rPr>
      <t>Espaldar:</t>
    </r>
    <r>
      <rPr>
        <sz val="7"/>
        <rFont val="Arial"/>
        <family val="2"/>
      </rPr>
      <t xml:space="preserve">
46 cm Alto.
43 cm Ancho.
</t>
    </r>
    <r>
      <rPr>
        <b/>
        <sz val="7"/>
        <rFont val="Arial"/>
        <family val="2"/>
      </rPr>
      <t>Asiento:</t>
    </r>
    <r>
      <rPr>
        <sz val="7"/>
        <rFont val="Arial"/>
        <family val="2"/>
      </rPr>
      <t xml:space="preserve">
48 cm Profundidad.
53 cm Ancho.
44 cm altura</t>
    </r>
  </si>
  <si>
    <r>
      <t>SILLA GIRATORIA
Dimensiones Espaldar:</t>
    </r>
    <r>
      <rPr>
        <sz val="7"/>
        <rFont val="Arial"/>
        <family val="2"/>
      </rPr>
      <t xml:space="preserve"> Alto 64 cm, Ancho 46 cm y Espesor 5 cm. Mecanismo Espaldar: Sistema reclinable, ajustable en altura y profundidad.
</t>
    </r>
    <r>
      <rPr>
        <b/>
        <sz val="7"/>
        <rFont val="Arial"/>
        <family val="2"/>
      </rPr>
      <t xml:space="preserve">Asiento: </t>
    </r>
    <r>
      <rPr>
        <sz val="7"/>
        <rFont val="Arial"/>
        <family val="2"/>
      </rPr>
      <t xml:space="preserve">Ergonómico con espuma inyectada de alta durabilidad (en poliuretano, densidad de 57 /- 5 kg/m); con borde redondeado
</t>
    </r>
    <r>
      <rPr>
        <b/>
        <sz val="7"/>
        <rFont val="Arial"/>
        <family val="2"/>
      </rPr>
      <t xml:space="preserve">Dimensiones Asiento: </t>
    </r>
    <r>
      <rPr>
        <sz val="7"/>
        <rFont val="Arial"/>
        <family val="2"/>
      </rPr>
      <t xml:space="preserve">Ancho 51 cm, Profundidad 45 cm y Espesor 7,5 cm. Mecanismo
</t>
    </r>
    <r>
      <rPr>
        <b/>
        <sz val="7"/>
        <rFont val="Arial"/>
        <family val="2"/>
      </rPr>
      <t xml:space="preserve">Asiento: </t>
    </r>
    <r>
      <rPr>
        <sz val="7"/>
        <rFont val="Arial"/>
        <family val="2"/>
      </rPr>
      <t xml:space="preserve">Ajustable en altura,
</t>
    </r>
    <r>
      <rPr>
        <b/>
        <sz val="7"/>
        <rFont val="Arial"/>
        <family val="2"/>
      </rPr>
      <t>Tela:</t>
    </r>
    <r>
      <rPr>
        <sz val="7"/>
        <rFont val="Arial"/>
        <family val="2"/>
      </rPr>
      <t xml:space="preserve"> Paño 
</t>
    </r>
    <r>
      <rPr>
        <b/>
        <sz val="7"/>
        <rFont val="Arial"/>
        <family val="2"/>
      </rPr>
      <t xml:space="preserve">Color: </t>
    </r>
    <r>
      <rPr>
        <sz val="7"/>
        <rFont val="Arial"/>
        <family val="2"/>
      </rPr>
      <t xml:space="preserve">Negra, 
Tela antifluido de fácil limpieza,100% Poliéster, Retardancia al fuego que no produce calor 
</t>
    </r>
    <r>
      <rPr>
        <b/>
        <sz val="7"/>
        <rFont val="Arial"/>
        <family val="2"/>
      </rPr>
      <t>Sistema elevación:</t>
    </r>
    <r>
      <rPr>
        <sz val="7"/>
        <rFont val="Arial"/>
        <family val="2"/>
      </rPr>
      <t xml:space="preserve"> Neumático, regulable
</t>
    </r>
    <r>
      <rPr>
        <b/>
        <sz val="7"/>
        <rFont val="Arial"/>
        <family val="2"/>
      </rPr>
      <t xml:space="preserve">Brazos Ajustables: </t>
    </r>
    <r>
      <rPr>
        <sz val="7"/>
        <rFont val="Arial"/>
        <family val="2"/>
      </rPr>
      <t xml:space="preserve">Permite graduar la altura (5 posiciones). El apoyo del codo elaborado de un material blando (poliuretano).
Base Acabado cromado, diámetro 62 cm.
</t>
    </r>
    <r>
      <rPr>
        <b/>
        <sz val="7"/>
        <rFont val="Arial"/>
        <family val="2"/>
      </rPr>
      <t xml:space="preserve">Giratoria: </t>
    </r>
    <r>
      <rPr>
        <sz val="7"/>
        <rFont val="Arial"/>
        <family val="2"/>
      </rPr>
      <t>Rodachinas (50 mm), en Nylon, doble pista y giro 360 grados</t>
    </r>
  </si>
  <si>
    <t>REC 10</t>
  </si>
  <si>
    <t>REC 16</t>
  </si>
  <si>
    <t>ESIDE</t>
  </si>
  <si>
    <r>
      <t xml:space="preserve">Escritorio secretarial </t>
    </r>
    <r>
      <rPr>
        <sz val="7"/>
        <rFont val="Arial"/>
        <family val="2"/>
      </rPr>
      <t>de 1.20 de largo x 60 de fondo x 73 de alto con superficie el aglomerado de 25 mm con enchape el fornica color según requerimiento, terminado en bordes en canto rígido. Cajonera metálica de tres cajones, pintada en laca color negro/gris. Pedestal en H pintado en laca color negro/gris.</t>
    </r>
  </si>
  <si>
    <t>ESICI</t>
  </si>
  <si>
    <r>
      <t xml:space="preserve">Archivador rodante, 
</t>
    </r>
    <r>
      <rPr>
        <sz val="7"/>
        <rFont val="Arial"/>
        <family val="2"/>
      </rPr>
      <t>sistema de almacenamiento móvil para archivo físico, fabricado en estructura metálica de alta resistencia, dotado de rieles de desplazamiento, mecanismos de rodamiento suave y seguro, y sistema de bloqueo y cierre para control de acceso. cuenta con acabado anticorrosivo y está diseñado para la organización, custodia y conservación de la documentación institucional. 
El archivador rodante tiene una capacidad aproximada para ciento noventa (190) cajas tipo X-200, con dimensiones aproximadas de 210 cm de alto por 240 cm de ancho, y una profundidad de estantes entre 30 y 40 cm, lo que permite optimizar el almacenamiento y la correcta disposición de las cajas de archivo tipo X-200. 
El bien incluye instalación y ajuste en el espacio asignado, garantizando su adecuado funcionamiento y adaptación a las condiciones físicas del lugar</t>
    </r>
  </si>
  <si>
    <t>ESACE</t>
  </si>
  <si>
    <t>ESING</t>
  </si>
  <si>
    <r>
      <t xml:space="preserve">PUPITRE
</t>
    </r>
    <r>
      <rPr>
        <sz val="7"/>
        <rFont val="Arial"/>
        <family val="2"/>
      </rPr>
      <t>Espaldar Fabricado en polipropileno (PP) de alta resistencia.
Recubierto con malla transpirable que permite una correcta ventilación.
Diseño ergonómico que se adapta a la curvatura lumbar y dorsal
Estructura
Marco metálico en hierro negro de alta durabilidad.
Brazos y Paleta
Brazos deslizantes en polipropileno para mayor adaptabilidad.
Tableta de escritura abatible integrada para una experiencia de trabajo o estudio más cómoda.
Portavaso oculto para mantener el orden y evitar accidentes.
Asiento Relleno de espuma de alta densidad
Sistema Abatible
Con carcasa inferior protectora que prolonga la vida útil del asiento.
Diseño compacto
Dimensiones referenciales
Ancho total: 585 mm
Profundidad total: 530 mm
Altura total: 820 mm
Altura al asiento: 460 mm</t>
    </r>
  </si>
  <si>
    <r>
      <t xml:space="preserve">ESCRITORIO GERENCIAL EN “L”
</t>
    </r>
    <r>
      <rPr>
        <sz val="7"/>
        <rFont val="Arial"/>
        <family val="2"/>
      </rPr>
      <t xml:space="preserve">Escritorio gerencial en “L” con superficie en vidrio y módulo auxiliar con cajonera.
•Dimensiones: (referenciales mínimas) 160 x 75 x 120 cm
•Largo módulo lateral: 100  cm
•Ancho módulo lateral: 40 – 50 cm
•Alto: módulo lateral 70 cm
(Las dimensiones podrán ajustarse según requerimiento institucional, manteniendo proporcionalidad ergonómica).
</t>
    </r>
    <r>
      <rPr>
        <b/>
        <sz val="7"/>
        <rFont val="Arial"/>
        <family val="2"/>
      </rPr>
      <t>Superficie</t>
    </r>
    <r>
      <rPr>
        <sz val="7"/>
        <rFont val="Arial"/>
        <family val="2"/>
      </rPr>
      <t xml:space="preserve">
•Material: Vidrio templado
•Espesor mínimo: 10 mm
•Color: Transparente o ahumado
•Bordes: Pulidos y biselados
•Resistencia: Alta resistencia a impacto moderado y cargas de trabajo de oficina
</t>
    </r>
    <r>
      <rPr>
        <b/>
        <sz val="7"/>
        <rFont val="Arial"/>
        <family val="2"/>
      </rPr>
      <t>Estructura</t>
    </r>
    <r>
      <rPr>
        <sz val="7"/>
        <rFont val="Arial"/>
        <family val="2"/>
      </rPr>
      <t xml:space="preserve">
•Material: Acero tubular o metálico de alta resistencia. Tubo elíptico calibre 18 de 2.33” travesaño de 4 x8 calibre 16
•Acabado: cromado o en pintura electroestática (de acuerdo a solicitud del supervisor)
•Color: Negro, gris o cromado
•Tipo de soporte: Patas metálicas con niveladores plásticos antideslizantes
•Panel frontal: Lámina metálica microperforada para estética y ventilación
Módulo lateral (ala)
•Tipo: Extensión lateral fija o independiente
•Material estructura: Metálico 
•Superficie: Vidrio templado o madera laminada
</t>
    </r>
  </si>
  <si>
    <r>
      <t xml:space="preserve">Cajonera
</t>
    </r>
    <r>
      <rPr>
        <sz val="7"/>
        <rFont val="Arial"/>
        <family val="2"/>
      </rPr>
      <t>•Cantidad: 3 cajones
•Material: lamina coll rolled calibre 22 y 16
•Correderas: Metálicas telescópicas
•Sistema de cierre: Cerradura centralizada
•Manijas: Metálicas o embebidas
•Capacidad: Archivo y almacenamiento de documentos
Capacidad de carga
•Superficie principal: mínimo 50 kg distribuidos
•Módulo lateral: mínimo 30 kg
Ergonomía
•Altura estándar acorde a normativas de ergonomía laboral
•Espacio libre inferior para movilidad de piernas
Acabados
•Superficie lisa, libre de imperfecciones
•Bordes seguros (sin filos cortantes)
•Materiales resistentes a rayones y fácil limpieza
Color
•Estructura: Negro, gris o cromado
•Cajonera: Negro o tono madera oscura
•Vidrio: Transparente o ahumado
Incluye transporte, instalación y puesta en funcionamiento.</t>
    </r>
  </si>
  <si>
    <r>
      <t xml:space="preserve">MESA DE JUNTAS
</t>
    </r>
    <r>
      <rPr>
        <sz val="7"/>
        <rFont val="Arial"/>
        <family val="2"/>
      </rPr>
      <t>Mesa de juntas desarmable de 6 puestos, 
Formica de 30 mm, medidas. 2.20 x 1.10 / 1.80 x 1.00 / 1.60 x 1.00 / 1.50 x 0.90
Vidrio transparente de 19 mm, medidas. 2.20 x 1.10 / 1.80 x 1.00 / 1.60 x 1.00 / 1.50 x 0.90
Estructura: Tubo elíptico calibre 18 de 2.33” cromado ò en pintura electroestática, niveladores plásticos de protección, travesaño de 4 x8 calibre 16
•Ducto para cableado troquelado</t>
    </r>
  </si>
  <si>
    <r>
      <t xml:space="preserve">ARMARIO METÁLICO MULTIUSOS MEDIANO
</t>
    </r>
    <r>
      <rPr>
        <sz val="7"/>
        <rFont val="Arial"/>
        <family val="2"/>
      </rPr>
      <t>Dimensiones Alto: 80 cm
•Ancho:  100 cm
•Fondo:  50 cm
Estructura
Cantidad: 3 entrepaños (mínimo)
•Material: lamina coll rolled calibre 22 y 16
•Correderas: Metálicas telescópicas
•Sistema de cierre: Cerradura centralizada
•Manijas: Metálicas o embebidas
•Base: Con zócalo inferior o patas niveladoras antideslizantes
Acabados
•Recubrimiento: Melamina de alta resistencia
•Color: por definir por el supervisor de contrato
•Puertas: Enchapado tipo madera clara (roble, haya o similar)
•Resistencia: Alta resistencia a rayones, humedad moderada y desgaste
Puertas
•Tipo: Abatibles (2 hojas)
•Material: lamina coll rolled calibre 22 y 16
•Bisagras: Metálicas tipo cazoleta (mínimo 2 por puerta)
•Sistema de cierre: Cerradura con llave
•Manijas: Metálicas, acabado satinado o cromado
Compartimientos internos
•Configuración: Mínimo tres entrepaños internos
•TIP-ON ajustable
Capacidad de carga
•Entrepaños: mínimo 25 kg distribuidos
•Superficie superior: mínimo 30 kg
Nivelación
•Incluye niveladores plásticos o metálicos para ajuste en superficies irregulares
Seguridad
•Sistema de cierre con llave
•Bordes sellados (canto en PVC mínimo 0.5 mm)
•Estructura estable antivuelco</t>
    </r>
  </si>
  <si>
    <r>
      <t xml:space="preserve">ARCHIVADOR RODANTE MECÁNICO - BIBLIOTECA
</t>
    </r>
    <r>
      <rPr>
        <sz val="7"/>
        <rFont val="Arial"/>
        <family val="2"/>
      </rPr>
      <t>para almacenamiento de libros o AZ. con puerta. elaborado en lamina cold rolled, pintura electrostática. total 12 unidades de consulta, (2 unidades fijas, cuatro rodantes).
Medidas: fondo 1,10 mt, ancho 4,82 mt, alto 2,04 mt, 5 entrepaños de 35,5cm, base entrepaño de 9 cm, en sistema de polea, manivela y cadena
Elaborado en ángulo estructural, que garantiza una resistencia de 2 toneladas; 
• rieles: base riel elaborada en ángulo, y la unión de dos ángulos que garantiza estabilidad y fácil desplazamiento del carro antivuelco.
• manija para el sistema mecánico: elaborada en platina con pivotes en acero col rolle maquinado; manija diseñada a manera de volante lo que facilita la manipulación del sistema. 
• panelería o terminados exteriores: de acuerdo con lo recomendado para almacenamiento de libros o AZ
• paral o columna: fabricada en lámina col rolle calibre 16 punzonada con sistema de soporte tipo cremallera; posee templetes en diagonal elaborados en platina con un tensor de ajuste lo que permite dar la rigidez y estabilidad que necesita.
• entrepaños, pisos y techos: modulares sin tornillos; con una resistencia de total de 120 kilogramos, con doblez frontal.  (incluida instalación y puesta en funcionamiento).
• Enchapado exterior en formica color institucional a elección del supervisor del contrato en acompañamiento del delegado de la biblioteca por la unidad
*Las medidas deben ser confirmadas antes de la fabricación.</t>
    </r>
  </si>
  <si>
    <r>
      <t xml:space="preserve">ESTANTERIA (RACK)
</t>
    </r>
    <r>
      <rPr>
        <sz val="7"/>
        <rFont val="Arial"/>
        <family val="2"/>
      </rPr>
      <t>Medidas: alto 200cm, ancho 180 cm, profundidad 60 cm
Carga 200 kg.
Niveles: 6
Marco F80, viga 150 kg, 
Tendido metálico alfajor
Pintura en polvo termofijada basada en resina poliéster de acabado LISO BRILLANTE Azul cobalto liso b hibrido y naranja industrial liso B poliéster</t>
    </r>
  </si>
  <si>
    <r>
      <t xml:space="preserve">REPOSA PIES
</t>
    </r>
    <r>
      <rPr>
        <sz val="7"/>
        <rFont val="Arial"/>
        <family val="2"/>
      </rPr>
      <t>Dimensiones plataforma: 46 cm x 35 cm. Altura ajustable a 13. 8 cm, 15 y 18 cm (3 alturas). Plataforma con burbujas para masajear los pies. Fabricado en plástico de alto impacto. Color: negro.</t>
    </r>
  </si>
  <si>
    <r>
      <t xml:space="preserve">ESTIBA PLASTICA
</t>
    </r>
    <r>
      <rPr>
        <sz val="7"/>
        <rFont val="Arial"/>
        <family val="2"/>
      </rPr>
      <t>Estiba de Piso 
Dimensiones: Largo x Ancho x Altura
60 cm × 60 cm × 2.5 cm
Capacidad de Carga: Soporta entre 250 kg y 500 kg dependiendo del diseño específico
Color negro
Diseño: Estructura modular apilable y de encaje, tipo americano</t>
    </r>
  </si>
  <si>
    <t xml:space="preserve"> PRECIO DE REFERENCIA UNITARIO  </t>
  </si>
  <si>
    <t xml:space="preserve">CRITERIO  </t>
  </si>
  <si>
    <t xml:space="preserve"> PRECIO DE REFERENCIA UNITARIO  (REDONDEADO A ENTERO</t>
  </si>
  <si>
    <t xml:space="preserve"> PRECIO DE REFERENCIA UNITARIO  (REDONDEADO A ENTERO)</t>
  </si>
  <si>
    <t>MEDIANA</t>
  </si>
  <si>
    <t>MEDIA GEOMETRICA</t>
  </si>
  <si>
    <t>MENOR VALOR</t>
  </si>
  <si>
    <t>MEDIA AMRONICA</t>
  </si>
  <si>
    <t>CANTIDAD MINIMA A ADQUIRIR</t>
  </si>
  <si>
    <t>% CUBRIMIENTO</t>
  </si>
  <si>
    <t>VALOR TOTAL CURBIMIENTO NECESIDAD</t>
  </si>
  <si>
    <t>LIMITANTE</t>
  </si>
  <si>
    <t>REMANENTE</t>
  </si>
  <si>
    <t>PRESUPUESTO UNIDAD</t>
  </si>
  <si>
    <t>ESLOG</t>
  </si>
  <si>
    <t xml:space="preserve">ARTICULO PRESUPUESTAL  </t>
  </si>
  <si>
    <t>RECURSO</t>
  </si>
  <si>
    <t>DESCRIPCIÓN DEL RUBRO</t>
  </si>
  <si>
    <t>UNIDAD BENEFICIADA</t>
  </si>
  <si>
    <t>VALOR POR ARTÍCULO PRESUPUESTAL</t>
  </si>
  <si>
    <t>(SIIF NACIÓN)</t>
  </si>
  <si>
    <t xml:space="preserve">CEDOE </t>
  </si>
  <si>
    <t>SOBRANTE O REMANENTE</t>
  </si>
  <si>
    <t xml:space="preserve">ESIDE </t>
  </si>
  <si>
    <t>TOTAL</t>
  </si>
  <si>
    <t>VALOR TOTAL DE LA  NECESIDAD</t>
  </si>
  <si>
    <t>HISTORICO</t>
  </si>
  <si>
    <t>AÑO 2024 - INCREMENTO IPC  5,20%</t>
  </si>
  <si>
    <t>VALOR CON IPC 2025</t>
  </si>
  <si>
    <t>PRECIO HISTORICO TRAIDO AL VALOR PRESENTE</t>
  </si>
  <si>
    <t>CANTIDAD</t>
  </si>
  <si>
    <t>HISTORICO 2024</t>
  </si>
  <si>
    <t>Homecenter – Idea Desk</t>
  </si>
  <si>
    <t>Compumuebles Colombia</t>
  </si>
  <si>
    <r>
      <rPr>
        <b/>
        <sz val="12"/>
        <color rgb="FF000000"/>
        <rFont val="Aptos Narrow"/>
        <family val="2"/>
      </rPr>
      <t>SILLA INTERLOCUTORA</t>
    </r>
    <r>
      <rPr>
        <sz val="12"/>
        <color rgb="FF000000"/>
        <rFont val="Aptos Narrow"/>
        <family val="2"/>
      </rPr>
      <t xml:space="preserve">
Estructura: Tubular-rectangular 30x15 Cal 18 y amarres en tubo redondo 5/8.
Asiento: En polipropileno abullonado con espuma inyectada.
Espaldar: En polipropileno abullonado con espuma inyectada, 
Estructura metálica recubierto en pintura negra electroestática y tapizado en paño.
Resistencia: Hasta 120 kg.
Color: negro.
DIMENSIONES Y PESO
82 cm Altura total.
54 cm Ancho total.
59 cm Profundidad total.
Espaldar:
30 cm Alto.
48,5 cm Ancho.
Asiento:
44 cm Profundidad.
46 cm Ancho.</t>
    </r>
  </si>
  <si>
    <t>AÑO 2025 INCREMENTO IPC 5,1%</t>
  </si>
  <si>
    <t xml:space="preserve">MENOR VALOR </t>
  </si>
  <si>
    <t>DESVIACIÓN ESTANDAR</t>
  </si>
  <si>
    <t xml:space="preserve">% DISPERSION </t>
  </si>
  <si>
    <r>
      <t xml:space="preserve">SILLA INTERLOCUTORA
</t>
    </r>
    <r>
      <rPr>
        <sz val="7"/>
        <rFont val="Arial"/>
        <family val="2"/>
      </rPr>
      <t>Estructura: Tubular-rectangular 30x15 Cal 18 y amarres en tubo redondo 5/8.
Asiento: En polipropileno abullonado con espuma inyectada.
Espaldar: En polipropileno abullonado con espuma inyectada, 
Estructura metálica recubierto en pintura negra electroestática y tapizado en paño.
Resistencia: Hasta 120 kg.
Color: negro.
DIMENSIONES Y PESO
82 cm Altura total.
54 cm Ancho total.
59 cm Profundidad total.
Espaldar:
30 cm Alto.
48,5 cm Ancho.
Asiento:
44 cm Profundidad.
46 cm Ancho.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</si>
</sst>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8" formatCode="&quot;$&quot;\ #,##0.00;[Red]\-&quot;$&quot;\ #,##0.00"/>
    <numFmt numFmtId="44" formatCode="_-&quot;$&quot;\ * #,##0.00_-;\-&quot;$&quot;\ * #,##0.00_-;_-&quot;$&quot;\ * &quot;-&quot;??_-;_-@_-"/>
    <numFmt numFmtId="164" formatCode="_(* #,##0.00_);_(* \(#,##0.00\);_(* &quot;-&quot;??_);_(@_)"/>
    <numFmt numFmtId="165" formatCode="_-&quot;$&quot;* #,##0_-;\-&quot;$&quot;* #,##0_-;_-&quot;$&quot;* &quot;-&quot;_-;_-@_-"/>
    <numFmt numFmtId="166" formatCode="&quot;$&quot;\ #,##0.00"/>
    <numFmt numFmtId="167" formatCode="#,##0;[Red]#,##0"/>
    <numFmt numFmtId="168" formatCode="&quot;$&quot;\ #,##0"/>
    <numFmt numFmtId="169" formatCode="_-&quot;$&quot;* #,##0.00_-;\-&quot;$&quot;* #,##0.00_-;_-&quot;$&quot;* &quot;-&quot;??_-;_-@_-"/>
  </numFmts>
  <fonts count="51" x14ac:knownFonts="1">
    <font>
      <sz val="11"/>
      <color rgb="FF000000"/>
      <name val="Calibri"/>
      <family val="2"/>
      <scheme val="minor"/>
    </font>
    <font>
      <sz val="11"/>
      <color theme="1"/>
      <name val="Calibri"/>
      <family val="2"/>
      <scheme val="minor"/>
    </font>
    <font>
      <sz val="11"/>
      <color theme="1"/>
      <name val="Calibri"/>
      <family val="2"/>
      <scheme val="minor"/>
    </font>
    <font>
      <sz val="11"/>
      <name val="Calibri"/>
      <family val="2"/>
      <scheme val="minor"/>
    </font>
    <font>
      <b/>
      <sz val="12"/>
      <color theme="1"/>
      <name val="Arial"/>
      <family val="2"/>
    </font>
    <font>
      <sz val="12"/>
      <color theme="1"/>
      <name val="Arial"/>
      <family val="2"/>
    </font>
    <font>
      <sz val="12"/>
      <name val="Arial"/>
      <family val="2"/>
    </font>
    <font>
      <sz val="14"/>
      <name val="Calibri"/>
      <family val="2"/>
      <scheme val="minor"/>
    </font>
    <font>
      <sz val="14"/>
      <name val="Arial"/>
      <family val="2"/>
    </font>
    <font>
      <b/>
      <sz val="12"/>
      <name val="Arial"/>
      <family val="2"/>
    </font>
    <font>
      <sz val="13"/>
      <name val="Arial"/>
      <family val="2"/>
    </font>
    <font>
      <sz val="10"/>
      <color rgb="FF002060"/>
      <name val="Arial"/>
      <family val="2"/>
    </font>
    <font>
      <sz val="11"/>
      <color rgb="FF002060"/>
      <name val="Arial"/>
      <family val="2"/>
    </font>
    <font>
      <sz val="16"/>
      <color theme="1"/>
      <name val="Arial"/>
      <family val="2"/>
    </font>
    <font>
      <sz val="18"/>
      <color theme="1"/>
      <name val="Arial"/>
      <family val="2"/>
    </font>
    <font>
      <b/>
      <u/>
      <sz val="12"/>
      <name val="Arial"/>
      <family val="2"/>
    </font>
    <font>
      <sz val="11"/>
      <color rgb="FF000000"/>
      <name val="Calibri"/>
      <family val="2"/>
      <scheme val="minor"/>
    </font>
    <font>
      <sz val="12"/>
      <color rgb="FF002060"/>
      <name val="Arial"/>
      <family val="2"/>
    </font>
    <font>
      <sz val="12"/>
      <color theme="1"/>
      <name val="Calibri"/>
      <family val="2"/>
      <scheme val="minor"/>
    </font>
    <font>
      <b/>
      <sz val="12"/>
      <color rgb="FF002060"/>
      <name val="Arial"/>
      <family val="2"/>
    </font>
    <font>
      <b/>
      <sz val="11"/>
      <name val="Arial"/>
      <family val="2"/>
    </font>
    <font>
      <sz val="8"/>
      <name val="Calibri"/>
      <family val="2"/>
      <scheme val="minor"/>
    </font>
    <font>
      <sz val="9"/>
      <color rgb="FF000000"/>
      <name val="Arial"/>
      <family val="2"/>
    </font>
    <font>
      <b/>
      <sz val="7"/>
      <color rgb="FF000000"/>
      <name val="Arial"/>
      <family val="2"/>
    </font>
    <font>
      <sz val="7"/>
      <color rgb="FF000000"/>
      <name val="Arial"/>
      <family val="2"/>
    </font>
    <font>
      <b/>
      <sz val="7"/>
      <name val="Arial"/>
      <family val="2"/>
    </font>
    <font>
      <sz val="7"/>
      <name val="Arial"/>
      <family val="2"/>
    </font>
    <font>
      <b/>
      <sz val="9"/>
      <color rgb="FF000000"/>
      <name val="Arial"/>
      <family val="2"/>
    </font>
    <font>
      <b/>
      <sz val="11"/>
      <color rgb="FF000000"/>
      <name val="Calibri"/>
      <family val="2"/>
      <scheme val="minor"/>
    </font>
    <font>
      <sz val="7"/>
      <color rgb="FF000000"/>
      <name val="Calibri"/>
      <family val="2"/>
      <scheme val="minor"/>
    </font>
    <font>
      <sz val="12"/>
      <name val="Calibri"/>
      <family val="2"/>
      <scheme val="minor"/>
    </font>
    <font>
      <b/>
      <sz val="12"/>
      <name val="Calibri"/>
      <family val="2"/>
      <scheme val="minor"/>
    </font>
    <font>
      <b/>
      <sz val="12"/>
      <color theme="1"/>
      <name val="Calibri"/>
      <family val="2"/>
      <scheme val="minor"/>
    </font>
    <font>
      <sz val="8"/>
      <color rgb="FF000000"/>
      <name val="Arial"/>
      <family val="2"/>
    </font>
    <font>
      <b/>
      <sz val="8"/>
      <color rgb="FF000000"/>
      <name val="Arial"/>
      <family val="2"/>
    </font>
    <font>
      <b/>
      <sz val="8"/>
      <name val="Arial"/>
      <family val="2"/>
    </font>
    <font>
      <b/>
      <sz val="7.5"/>
      <color rgb="FF000000"/>
      <name val="Arial"/>
      <family val="2"/>
    </font>
    <font>
      <b/>
      <sz val="8"/>
      <color rgb="FF000000"/>
      <name val="Calibri"/>
      <family val="2"/>
      <scheme val="minor"/>
    </font>
    <font>
      <b/>
      <sz val="8"/>
      <color rgb="FFFF0000"/>
      <name val="Arial"/>
      <family val="2"/>
    </font>
    <font>
      <b/>
      <sz val="11"/>
      <color rgb="FF000000"/>
      <name val="Arial"/>
      <family val="2"/>
    </font>
    <font>
      <b/>
      <sz val="9"/>
      <color theme="1"/>
      <name val="Arial"/>
      <family val="2"/>
    </font>
    <font>
      <sz val="9"/>
      <color theme="1"/>
      <name val="Arial"/>
      <family val="2"/>
    </font>
    <font>
      <b/>
      <sz val="12"/>
      <name val="Aptos Narrow"/>
      <family val="2"/>
    </font>
    <font>
      <b/>
      <sz val="12"/>
      <color theme="1"/>
      <name val="Aptos Narrow"/>
      <family val="2"/>
    </font>
    <font>
      <sz val="12"/>
      <name val="Aptos Narrow"/>
      <family val="2"/>
    </font>
    <font>
      <sz val="12"/>
      <color theme="1"/>
      <name val="Aptos Narrow"/>
      <family val="2"/>
    </font>
    <font>
      <sz val="12"/>
      <color rgb="FF000000"/>
      <name val="Aptos Narrow"/>
      <family val="2"/>
    </font>
    <font>
      <b/>
      <u/>
      <sz val="12"/>
      <name val="Aptos Narrow"/>
      <family val="2"/>
    </font>
    <font>
      <b/>
      <sz val="12"/>
      <color rgb="FF000000"/>
      <name val="Aptos Narrow"/>
      <family val="2"/>
    </font>
    <font>
      <b/>
      <sz val="10"/>
      <name val="Arial"/>
      <family val="2"/>
    </font>
    <font>
      <sz val="10"/>
      <color rgb="FF000000"/>
      <name val="Calibri"/>
      <family val="2"/>
      <scheme val="minor"/>
    </font>
  </fonts>
  <fills count="33">
    <fill>
      <patternFill patternType="none"/>
    </fill>
    <fill>
      <patternFill patternType="gray125"/>
    </fill>
    <fill>
      <patternFill patternType="solid">
        <fgColor theme="6" tint="0.79998168889431442"/>
        <bgColor indexed="64"/>
      </patternFill>
    </fill>
    <fill>
      <patternFill patternType="solid">
        <fgColor theme="7" tint="0.59999389629810485"/>
        <bgColor indexed="64"/>
      </patternFill>
    </fill>
    <fill>
      <patternFill patternType="solid">
        <fgColor theme="9" tint="0.79998168889431442"/>
        <bgColor rgb="FF000000"/>
      </patternFill>
    </fill>
    <fill>
      <patternFill patternType="solid">
        <fgColor theme="0"/>
        <bgColor rgb="FF000000"/>
      </patternFill>
    </fill>
    <fill>
      <patternFill patternType="solid">
        <fgColor theme="5" tint="0.39997558519241921"/>
        <bgColor indexed="64"/>
      </patternFill>
    </fill>
    <fill>
      <patternFill patternType="solid">
        <fgColor theme="4" tint="0.39997558519241921"/>
        <bgColor indexed="64"/>
      </patternFill>
    </fill>
    <fill>
      <patternFill patternType="solid">
        <fgColor rgb="FFA8D8DA"/>
        <bgColor indexed="64"/>
      </patternFill>
    </fill>
    <fill>
      <patternFill patternType="solid">
        <fgColor rgb="FFACAED6"/>
        <bgColor indexed="64"/>
      </patternFill>
    </fill>
    <fill>
      <patternFill patternType="solid">
        <fgColor rgb="FFCBB7BC"/>
        <bgColor indexed="64"/>
      </patternFill>
    </fill>
    <fill>
      <patternFill patternType="solid">
        <fgColor rgb="FFF2F2F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rgb="FFFFFF00"/>
        <bgColor rgb="FF000000"/>
      </patternFill>
    </fill>
    <fill>
      <patternFill patternType="solid">
        <fgColor rgb="FF00B050"/>
        <bgColor rgb="FF000000"/>
      </patternFill>
    </fill>
    <fill>
      <patternFill patternType="solid">
        <fgColor rgb="FFA8D8DA"/>
        <bgColor rgb="FF000000"/>
      </patternFill>
    </fill>
    <fill>
      <patternFill patternType="solid">
        <fgColor theme="0"/>
        <bgColor indexed="64"/>
      </patternFill>
    </fill>
    <fill>
      <patternFill patternType="solid">
        <fgColor theme="3" tint="0.59999389629810485"/>
        <bgColor indexed="64"/>
      </patternFill>
    </fill>
    <fill>
      <patternFill patternType="solid">
        <fgColor theme="3" tint="0.59999389629810485"/>
        <bgColor rgb="FF000000"/>
      </patternFill>
    </fill>
    <fill>
      <patternFill patternType="solid">
        <fgColor theme="0" tint="-0.34998626667073579"/>
        <bgColor rgb="FF000000"/>
      </patternFill>
    </fill>
    <fill>
      <patternFill patternType="solid">
        <fgColor theme="0" tint="-0.34998626667073579"/>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79998168889431442"/>
        <bgColor rgb="FFD8D8D8"/>
      </patternFill>
    </fill>
    <fill>
      <patternFill patternType="solid">
        <fgColor rgb="FFA0CEC2"/>
        <bgColor indexed="64"/>
      </patternFill>
    </fill>
    <fill>
      <patternFill patternType="solid">
        <fgColor rgb="FFFFACD3"/>
        <bgColor indexed="64"/>
      </patternFill>
    </fill>
    <fill>
      <patternFill patternType="solid">
        <fgColor theme="0" tint="-0.14999847407452621"/>
        <bgColor rgb="FFD8D8D8"/>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bgColor rgb="FFD8D8D8"/>
      </patternFill>
    </fill>
    <fill>
      <patternFill patternType="solid">
        <fgColor rgb="FF99CCFF"/>
        <bgColor rgb="FF000000"/>
      </patternFill>
    </fill>
  </fills>
  <borders count="35">
    <border>
      <left/>
      <right/>
      <top/>
      <bottom/>
      <diagonal/>
    </border>
    <border>
      <left style="medium">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s>
  <cellStyleXfs count="7">
    <xf numFmtId="0" fontId="0" fillId="0" borderId="0"/>
    <xf numFmtId="0" fontId="2" fillId="0" borderId="0"/>
    <xf numFmtId="0" fontId="3" fillId="0" borderId="0"/>
    <xf numFmtId="164" fontId="1" fillId="0" borderId="0" applyFont="0" applyFill="0" applyBorder="0" applyAlignment="0" applyProtection="0"/>
    <xf numFmtId="165" fontId="1" fillId="0" borderId="0" applyFont="0" applyFill="0" applyBorder="0" applyAlignment="0" applyProtection="0"/>
    <xf numFmtId="9" fontId="16" fillId="0" borderId="0" applyFont="0" applyFill="0" applyBorder="0" applyAlignment="0" applyProtection="0"/>
    <xf numFmtId="44" fontId="16" fillId="0" borderId="0" applyFont="0" applyFill="0" applyBorder="0" applyAlignment="0" applyProtection="0"/>
  </cellStyleXfs>
  <cellXfs count="369">
    <xf numFmtId="0" fontId="0" fillId="0" borderId="0" xfId="0"/>
    <xf numFmtId="0" fontId="2" fillId="0" borderId="0" xfId="1"/>
    <xf numFmtId="0" fontId="3" fillId="0" borderId="0" xfId="2"/>
    <xf numFmtId="0" fontId="5" fillId="0" borderId="0" xfId="1" applyFont="1" applyAlignment="1" applyProtection="1">
      <alignment vertical="center"/>
      <protection locked="0"/>
    </xf>
    <xf numFmtId="0" fontId="6" fillId="0" borderId="0" xfId="2" applyFont="1" applyAlignment="1">
      <alignment vertical="center"/>
    </xf>
    <xf numFmtId="0" fontId="6" fillId="0" borderId="1" xfId="2" applyFont="1" applyBorder="1" applyAlignment="1">
      <alignment vertical="center"/>
    </xf>
    <xf numFmtId="0" fontId="7" fillId="0" borderId="0" xfId="2" applyFont="1" applyAlignment="1">
      <alignment vertical="center"/>
    </xf>
    <xf numFmtId="0" fontId="8" fillId="0" borderId="0" xfId="2" applyFont="1" applyAlignment="1">
      <alignment vertical="center"/>
    </xf>
    <xf numFmtId="0" fontId="6" fillId="0" borderId="0" xfId="2" applyFont="1"/>
    <xf numFmtId="0" fontId="6" fillId="0" borderId="1" xfId="2" applyFont="1" applyBorder="1"/>
    <xf numFmtId="0" fontId="7" fillId="0" borderId="0" xfId="2" applyFont="1"/>
    <xf numFmtId="0" fontId="8" fillId="0" borderId="0" xfId="2" applyFont="1"/>
    <xf numFmtId="0" fontId="6" fillId="0" borderId="0" xfId="2" applyFont="1" applyAlignment="1">
      <alignment vertical="justify" wrapText="1"/>
    </xf>
    <xf numFmtId="0" fontId="9" fillId="0" borderId="0" xfId="1" applyFont="1" applyAlignment="1">
      <alignment horizontal="left" vertical="center" wrapText="1"/>
    </xf>
    <xf numFmtId="0" fontId="10" fillId="0" borderId="0" xfId="2" applyFont="1" applyAlignment="1">
      <alignment vertical="center"/>
    </xf>
    <xf numFmtId="0" fontId="11" fillId="0" borderId="0" xfId="1" applyFont="1" applyAlignment="1">
      <alignment vertical="center"/>
    </xf>
    <xf numFmtId="0" fontId="11" fillId="0" borderId="1" xfId="1" applyFont="1" applyBorder="1" applyAlignment="1">
      <alignment vertical="center"/>
    </xf>
    <xf numFmtId="0" fontId="6" fillId="0" borderId="0" xfId="2" applyFont="1" applyAlignment="1">
      <alignment vertical="center" wrapText="1"/>
    </xf>
    <xf numFmtId="0" fontId="6" fillId="0" borderId="0" xfId="2" applyFont="1" applyAlignment="1">
      <alignment horizontal="left" vertical="center" wrapText="1"/>
    </xf>
    <xf numFmtId="0" fontId="14" fillId="0" borderId="0" xfId="1" applyFont="1"/>
    <xf numFmtId="0" fontId="5" fillId="0" borderId="0" xfId="1" applyFont="1" applyAlignment="1">
      <alignment vertical="center" wrapText="1"/>
    </xf>
    <xf numFmtId="0" fontId="13" fillId="0" borderId="0" xfId="0" applyFont="1" applyAlignment="1">
      <alignment vertical="center"/>
    </xf>
    <xf numFmtId="0" fontId="5" fillId="0" borderId="0" xfId="0" applyFont="1" applyAlignment="1">
      <alignment vertical="center"/>
    </xf>
    <xf numFmtId="4" fontId="3" fillId="0" borderId="0" xfId="2" applyNumberFormat="1"/>
    <xf numFmtId="0" fontId="9" fillId="0" borderId="3" xfId="1" applyFont="1" applyBorder="1" applyAlignment="1">
      <alignment horizontal="center" vertical="center" wrapText="1"/>
    </xf>
    <xf numFmtId="0" fontId="9" fillId="2" borderId="3" xfId="1" applyFont="1" applyFill="1" applyBorder="1" applyAlignment="1">
      <alignment horizontal="center" vertical="center" wrapText="1"/>
    </xf>
    <xf numFmtId="0" fontId="15" fillId="2" borderId="3" xfId="1" applyFont="1" applyFill="1" applyBorder="1" applyAlignment="1">
      <alignment horizontal="center" vertical="center" wrapText="1"/>
    </xf>
    <xf numFmtId="0" fontId="9" fillId="0" borderId="3" xfId="1" applyFont="1" applyBorder="1" applyAlignment="1">
      <alignment horizontal="left" vertical="center" wrapText="1"/>
    </xf>
    <xf numFmtId="165" fontId="12" fillId="0" borderId="0" xfId="4" quotePrefix="1" applyFont="1" applyFill="1" applyBorder="1" applyAlignment="1" applyProtection="1">
      <alignment horizontal="center" vertical="center" wrapText="1"/>
    </xf>
    <xf numFmtId="0" fontId="9" fillId="0" borderId="0" xfId="2" applyFont="1"/>
    <xf numFmtId="166" fontId="9" fillId="0" borderId="3" xfId="1" applyNumberFormat="1" applyFont="1" applyBorder="1" applyAlignment="1">
      <alignment horizontal="right" vertical="center" wrapText="1"/>
    </xf>
    <xf numFmtId="166" fontId="12" fillId="0" borderId="3" xfId="4" quotePrefix="1" applyNumberFormat="1" applyFont="1" applyFill="1" applyBorder="1" applyAlignment="1" applyProtection="1">
      <alignment horizontal="right" vertical="center" wrapText="1"/>
    </xf>
    <xf numFmtId="166" fontId="11" fillId="0" borderId="0" xfId="1" applyNumberFormat="1" applyFont="1" applyAlignment="1">
      <alignment horizontal="right" vertical="center"/>
    </xf>
    <xf numFmtId="166" fontId="5" fillId="0" borderId="0" xfId="1" applyNumberFormat="1" applyFont="1" applyAlignment="1" applyProtection="1">
      <alignment horizontal="right" vertical="center"/>
      <protection locked="0"/>
    </xf>
    <xf numFmtId="166" fontId="2" fillId="0" borderId="0" xfId="1" applyNumberFormat="1" applyAlignment="1">
      <alignment horizontal="right"/>
    </xf>
    <xf numFmtId="166" fontId="8" fillId="0" borderId="0" xfId="2" applyNumberFormat="1" applyFont="1" applyAlignment="1">
      <alignment horizontal="right" vertical="center"/>
    </xf>
    <xf numFmtId="166" fontId="14" fillId="0" borderId="0" xfId="1" applyNumberFormat="1" applyFont="1" applyAlignment="1">
      <alignment horizontal="right"/>
    </xf>
    <xf numFmtId="166" fontId="5" fillId="0" borderId="0" xfId="1" applyNumberFormat="1" applyFont="1" applyAlignment="1">
      <alignment horizontal="right" vertical="center" wrapText="1"/>
    </xf>
    <xf numFmtId="166" fontId="13" fillId="0" borderId="0" xfId="0" applyNumberFormat="1" applyFont="1" applyAlignment="1">
      <alignment horizontal="right" vertical="center"/>
    </xf>
    <xf numFmtId="166" fontId="6" fillId="0" borderId="3" xfId="1" applyNumberFormat="1" applyFont="1" applyBorder="1" applyAlignment="1">
      <alignment horizontal="right" vertical="center" wrapText="1"/>
    </xf>
    <xf numFmtId="166" fontId="5" fillId="0" borderId="3" xfId="1" applyNumberFormat="1" applyFont="1" applyBorder="1" applyAlignment="1">
      <alignment horizontal="right" vertical="center" wrapText="1"/>
    </xf>
    <xf numFmtId="166" fontId="5" fillId="0" borderId="3" xfId="1" applyNumberFormat="1" applyFont="1" applyBorder="1" applyAlignment="1">
      <alignment vertical="center" wrapText="1"/>
    </xf>
    <xf numFmtId="166" fontId="5" fillId="0" borderId="3" xfId="0" applyNumberFormat="1" applyFont="1" applyBorder="1" applyAlignment="1">
      <alignment horizontal="right" vertical="center"/>
    </xf>
    <xf numFmtId="166" fontId="5" fillId="0" borderId="3" xfId="0" applyNumberFormat="1" applyFont="1" applyBorder="1" applyAlignment="1">
      <alignment vertical="center"/>
    </xf>
    <xf numFmtId="166" fontId="5" fillId="0" borderId="3" xfId="1" applyNumberFormat="1" applyFont="1" applyBorder="1" applyAlignment="1">
      <alignment horizontal="right" vertical="center"/>
    </xf>
    <xf numFmtId="166" fontId="5" fillId="0" borderId="3" xfId="1" applyNumberFormat="1" applyFont="1" applyBorder="1" applyAlignment="1">
      <alignment vertical="center"/>
    </xf>
    <xf numFmtId="166" fontId="4" fillId="0" borderId="3" xfId="1" applyNumberFormat="1" applyFont="1" applyBorder="1" applyAlignment="1">
      <alignment vertical="center"/>
    </xf>
    <xf numFmtId="166" fontId="17" fillId="0" borderId="3" xfId="1" applyNumberFormat="1" applyFont="1" applyBorder="1" applyAlignment="1">
      <alignment horizontal="right" vertical="center"/>
    </xf>
    <xf numFmtId="166" fontId="17" fillId="0" borderId="3" xfId="1" applyNumberFormat="1" applyFont="1" applyBorder="1" applyAlignment="1">
      <alignment vertical="center"/>
    </xf>
    <xf numFmtId="166" fontId="5" fillId="0" borderId="3" xfId="1" applyNumberFormat="1" applyFont="1" applyBorder="1" applyAlignment="1" applyProtection="1">
      <alignment horizontal="right" vertical="center"/>
      <protection locked="0"/>
    </xf>
    <xf numFmtId="166" fontId="5" fillId="0" borderId="3" xfId="1" applyNumberFormat="1" applyFont="1" applyBorder="1" applyAlignment="1" applyProtection="1">
      <alignment vertical="center"/>
      <protection locked="0"/>
    </xf>
    <xf numFmtId="166" fontId="6" fillId="0" borderId="3" xfId="2" applyNumberFormat="1" applyFont="1" applyBorder="1" applyAlignment="1">
      <alignment horizontal="right" vertical="center"/>
    </xf>
    <xf numFmtId="166" fontId="6" fillId="0" borderId="3" xfId="2" applyNumberFormat="1" applyFont="1" applyBorder="1" applyAlignment="1">
      <alignment vertical="center"/>
    </xf>
    <xf numFmtId="166" fontId="6" fillId="0" borderId="3" xfId="2" applyNumberFormat="1" applyFont="1" applyBorder="1" applyAlignment="1">
      <alignment horizontal="right" vertical="center" wrapText="1"/>
    </xf>
    <xf numFmtId="166" fontId="6" fillId="0" borderId="3" xfId="2" applyNumberFormat="1" applyFont="1" applyBorder="1" applyAlignment="1">
      <alignment vertical="center" wrapText="1"/>
    </xf>
    <xf numFmtId="166" fontId="6" fillId="0" borderId="3" xfId="2" applyNumberFormat="1" applyFont="1" applyBorder="1" applyAlignment="1">
      <alignment horizontal="left" vertical="center" wrapText="1"/>
    </xf>
    <xf numFmtId="166" fontId="19" fillId="0" borderId="3" xfId="1" applyNumberFormat="1" applyFont="1" applyBorder="1" applyAlignment="1">
      <alignment vertical="center"/>
    </xf>
    <xf numFmtId="166" fontId="18" fillId="0" borderId="3" xfId="1" applyNumberFormat="1" applyFont="1" applyBorder="1" applyAlignment="1">
      <alignment horizontal="right" vertical="center"/>
    </xf>
    <xf numFmtId="166" fontId="18" fillId="0" borderId="3" xfId="1" applyNumberFormat="1" applyFont="1" applyBorder="1" applyAlignment="1">
      <alignment vertical="center"/>
    </xf>
    <xf numFmtId="0" fontId="9" fillId="3" borderId="3" xfId="1" applyFont="1" applyFill="1" applyBorder="1" applyAlignment="1">
      <alignment horizontal="center" vertical="center" wrapText="1"/>
    </xf>
    <xf numFmtId="166" fontId="9" fillId="5" borderId="3" xfId="0" applyNumberFormat="1" applyFont="1" applyFill="1" applyBorder="1" applyAlignment="1" applyProtection="1">
      <alignment vertical="center" wrapText="1"/>
      <protection hidden="1"/>
    </xf>
    <xf numFmtId="9" fontId="9" fillId="0" borderId="3" xfId="5" applyFont="1" applyBorder="1" applyAlignment="1">
      <alignment horizontal="center" vertical="center"/>
    </xf>
    <xf numFmtId="0" fontId="9" fillId="6" borderId="3" xfId="1" applyFont="1" applyFill="1" applyBorder="1" applyAlignment="1">
      <alignment horizontal="center" vertical="center" wrapText="1"/>
    </xf>
    <xf numFmtId="0" fontId="9" fillId="7" borderId="3" xfId="1" applyFont="1" applyFill="1" applyBorder="1" applyAlignment="1">
      <alignment horizontal="center" vertical="center" wrapText="1"/>
    </xf>
    <xf numFmtId="0" fontId="9" fillId="8" borderId="3" xfId="1" applyFont="1" applyFill="1" applyBorder="1" applyAlignment="1">
      <alignment horizontal="center" vertical="center" wrapText="1"/>
    </xf>
    <xf numFmtId="166" fontId="11" fillId="0" borderId="0" xfId="1" applyNumberFormat="1" applyFont="1" applyAlignment="1">
      <alignment vertical="center"/>
    </xf>
    <xf numFmtId="166" fontId="5" fillId="0" borderId="0" xfId="1" applyNumberFormat="1" applyFont="1" applyAlignment="1" applyProtection="1">
      <alignment vertical="center"/>
      <protection locked="0"/>
    </xf>
    <xf numFmtId="166" fontId="2" fillId="0" borderId="0" xfId="1" applyNumberFormat="1"/>
    <xf numFmtId="166" fontId="10" fillId="0" borderId="0" xfId="2" applyNumberFormat="1" applyFont="1" applyAlignment="1">
      <alignment vertical="center"/>
    </xf>
    <xf numFmtId="166" fontId="10" fillId="0" borderId="3" xfId="2" applyNumberFormat="1" applyFont="1" applyBorder="1" applyAlignment="1">
      <alignment vertical="center"/>
    </xf>
    <xf numFmtId="166" fontId="8" fillId="0" borderId="3" xfId="2" applyNumberFormat="1" applyFont="1" applyBorder="1" applyAlignment="1">
      <alignment vertical="center"/>
    </xf>
    <xf numFmtId="168" fontId="9" fillId="9" borderId="3" xfId="1" applyNumberFormat="1" applyFont="1" applyFill="1" applyBorder="1" applyAlignment="1">
      <alignment horizontal="center" vertical="center" wrapText="1"/>
    </xf>
    <xf numFmtId="168" fontId="17" fillId="0" borderId="3" xfId="1" applyNumberFormat="1" applyFont="1" applyBorder="1" applyAlignment="1">
      <alignment vertical="center"/>
    </xf>
    <xf numFmtId="168" fontId="5" fillId="0" borderId="3" xfId="1" applyNumberFormat="1" applyFont="1" applyBorder="1" applyAlignment="1" applyProtection="1">
      <alignment vertical="center"/>
      <protection locked="0"/>
    </xf>
    <xf numFmtId="168" fontId="18" fillId="0" borderId="3" xfId="1" applyNumberFormat="1" applyFont="1" applyBorder="1" applyAlignment="1">
      <alignment vertical="center"/>
    </xf>
    <xf numFmtId="168" fontId="10" fillId="0" borderId="3" xfId="2" applyNumberFormat="1" applyFont="1" applyBorder="1" applyAlignment="1">
      <alignment vertical="center"/>
    </xf>
    <xf numFmtId="168" fontId="8" fillId="0" borderId="3" xfId="2" applyNumberFormat="1" applyFont="1" applyBorder="1" applyAlignment="1">
      <alignment vertical="center"/>
    </xf>
    <xf numFmtId="168" fontId="6" fillId="0" borderId="3" xfId="2" applyNumberFormat="1" applyFont="1" applyBorder="1" applyAlignment="1">
      <alignment vertical="center" wrapText="1"/>
    </xf>
    <xf numFmtId="168" fontId="6" fillId="0" borderId="3" xfId="2" applyNumberFormat="1" applyFont="1" applyBorder="1" applyAlignment="1">
      <alignment horizontal="left" vertical="center" wrapText="1"/>
    </xf>
    <xf numFmtId="168" fontId="5" fillId="0" borderId="3" xfId="1" applyNumberFormat="1" applyFont="1" applyBorder="1" applyAlignment="1">
      <alignment horizontal="right" vertical="center"/>
    </xf>
    <xf numFmtId="168" fontId="5" fillId="0" borderId="3" xfId="1" applyNumberFormat="1" applyFont="1" applyBorder="1" applyAlignment="1">
      <alignment vertical="center"/>
    </xf>
    <xf numFmtId="168" fontId="4" fillId="0" borderId="3" xfId="1" applyNumberFormat="1" applyFont="1" applyBorder="1" applyAlignment="1">
      <alignment vertical="center"/>
    </xf>
    <xf numFmtId="168" fontId="5" fillId="0" borderId="3" xfId="1" applyNumberFormat="1" applyFont="1" applyBorder="1" applyAlignment="1">
      <alignment horizontal="right" vertical="center" wrapText="1"/>
    </xf>
    <xf numFmtId="168" fontId="5" fillId="0" borderId="3" xfId="0" applyNumberFormat="1" applyFont="1" applyBorder="1" applyAlignment="1">
      <alignment horizontal="right" vertical="center"/>
    </xf>
    <xf numFmtId="168" fontId="5" fillId="0" borderId="0" xfId="0" applyNumberFormat="1" applyFont="1" applyAlignment="1">
      <alignment vertical="center"/>
    </xf>
    <xf numFmtId="168" fontId="3" fillId="0" borderId="0" xfId="2" applyNumberFormat="1"/>
    <xf numFmtId="168" fontId="9" fillId="10" borderId="3" xfId="1" applyNumberFormat="1" applyFont="1" applyFill="1" applyBorder="1" applyAlignment="1">
      <alignment horizontal="center" vertical="center" wrapText="1"/>
    </xf>
    <xf numFmtId="44" fontId="9" fillId="0" borderId="3" xfId="6" applyFont="1" applyBorder="1" applyAlignment="1">
      <alignment horizontal="left" vertical="center" wrapText="1"/>
    </xf>
    <xf numFmtId="169" fontId="9" fillId="0" borderId="3" xfId="1" applyNumberFormat="1" applyFont="1" applyBorder="1" applyAlignment="1">
      <alignment horizontal="left" vertical="center" wrapText="1"/>
    </xf>
    <xf numFmtId="166" fontId="6" fillId="0" borderId="3" xfId="6" applyNumberFormat="1" applyFont="1" applyBorder="1" applyAlignment="1">
      <alignment horizontal="right" vertical="center" wrapText="1"/>
    </xf>
    <xf numFmtId="44" fontId="4" fillId="0" borderId="0" xfId="0" applyNumberFormat="1" applyFont="1" applyAlignment="1">
      <alignment vertical="center"/>
    </xf>
    <xf numFmtId="166" fontId="5" fillId="0" borderId="0" xfId="0" applyNumberFormat="1" applyFont="1" applyAlignment="1">
      <alignment vertical="center"/>
    </xf>
    <xf numFmtId="0" fontId="22" fillId="0" borderId="0" xfId="0" applyFont="1"/>
    <xf numFmtId="8" fontId="0" fillId="0" borderId="0" xfId="0" applyNumberFormat="1"/>
    <xf numFmtId="0" fontId="25" fillId="0" borderId="3" xfId="1" applyFont="1" applyBorder="1" applyAlignment="1">
      <alignment horizontal="left" vertical="center" wrapText="1"/>
    </xf>
    <xf numFmtId="0" fontId="23" fillId="0" borderId="10" xfId="0" applyFont="1" applyBorder="1" applyAlignment="1">
      <alignment horizontal="center" vertical="center" wrapText="1"/>
    </xf>
    <xf numFmtId="0" fontId="0" fillId="0" borderId="3" xfId="0" applyBorder="1"/>
    <xf numFmtId="0" fontId="24" fillId="0" borderId="3" xfId="0" applyFont="1" applyBorder="1"/>
    <xf numFmtId="0" fontId="24" fillId="0" borderId="3" xfId="0" applyFont="1" applyBorder="1" applyAlignment="1">
      <alignment horizontal="center" vertical="center"/>
    </xf>
    <xf numFmtId="0" fontId="23" fillId="0" borderId="7" xfId="0" applyFont="1" applyBorder="1" applyAlignment="1">
      <alignment horizontal="center" vertical="center" wrapText="1"/>
    </xf>
    <xf numFmtId="0" fontId="27" fillId="12" borderId="3" xfId="0" applyFont="1" applyFill="1" applyBorder="1" applyAlignment="1">
      <alignment horizontal="center" vertical="center"/>
    </xf>
    <xf numFmtId="0" fontId="25" fillId="0" borderId="3" xfId="1" applyFont="1" applyBorder="1" applyAlignment="1">
      <alignment horizontal="center" vertical="center" wrapText="1"/>
    </xf>
    <xf numFmtId="0" fontId="9" fillId="13" borderId="3" xfId="1" applyFont="1" applyFill="1" applyBorder="1" applyAlignment="1">
      <alignment horizontal="left" vertical="center" wrapText="1"/>
    </xf>
    <xf numFmtId="0" fontId="9" fillId="13" borderId="3" xfId="1" applyFont="1" applyFill="1" applyBorder="1" applyAlignment="1">
      <alignment horizontal="center" vertical="center" wrapText="1"/>
    </xf>
    <xf numFmtId="0" fontId="23" fillId="0" borderId="11" xfId="0" applyFont="1" applyBorder="1" applyAlignment="1">
      <alignment horizontal="center" vertical="center" textRotation="90" wrapText="1"/>
    </xf>
    <xf numFmtId="0" fontId="27" fillId="3" borderId="3" xfId="0" applyFont="1" applyFill="1" applyBorder="1" applyAlignment="1">
      <alignment horizontal="center" vertical="center"/>
    </xf>
    <xf numFmtId="0" fontId="27" fillId="14" borderId="3" xfId="0" applyFont="1" applyFill="1" applyBorder="1" applyAlignment="1">
      <alignment horizontal="center" vertical="center"/>
    </xf>
    <xf numFmtId="0" fontId="27" fillId="9" borderId="3" xfId="0" applyFont="1" applyFill="1" applyBorder="1" applyAlignment="1">
      <alignment horizontal="center" vertical="center"/>
    </xf>
    <xf numFmtId="0" fontId="27" fillId="10" borderId="3" xfId="0" applyFont="1" applyFill="1" applyBorder="1" applyAlignment="1">
      <alignment horizontal="center" vertical="center"/>
    </xf>
    <xf numFmtId="0" fontId="27" fillId="8" borderId="3" xfId="0" applyFont="1" applyFill="1" applyBorder="1" applyAlignment="1">
      <alignment horizontal="center" vertical="center"/>
    </xf>
    <xf numFmtId="0" fontId="25" fillId="0" borderId="5" xfId="1" applyFont="1" applyBorder="1" applyAlignment="1">
      <alignment horizontal="center" vertical="center" wrapText="1"/>
    </xf>
    <xf numFmtId="0" fontId="24" fillId="0" borderId="0" xfId="0" applyFont="1" applyAlignment="1">
      <alignment horizontal="center" vertical="center"/>
    </xf>
    <xf numFmtId="0" fontId="25" fillId="0" borderId="0" xfId="1" applyFont="1" applyAlignment="1">
      <alignment horizontal="left" vertical="center" wrapText="1"/>
    </xf>
    <xf numFmtId="168" fontId="5" fillId="8" borderId="0" xfId="0" applyNumberFormat="1" applyFont="1" applyFill="1" applyAlignment="1">
      <alignment vertical="center"/>
    </xf>
    <xf numFmtId="166" fontId="4" fillId="8" borderId="0" xfId="0" applyNumberFormat="1" applyFont="1" applyFill="1" applyAlignment="1">
      <alignment vertical="center"/>
    </xf>
    <xf numFmtId="166" fontId="9" fillId="8" borderId="0" xfId="1" applyNumberFormat="1" applyFont="1" applyFill="1" applyAlignment="1">
      <alignment horizontal="left" vertical="center" wrapText="1"/>
    </xf>
    <xf numFmtId="0" fontId="30" fillId="0" borderId="0" xfId="2" applyFont="1"/>
    <xf numFmtId="166" fontId="9" fillId="17" borderId="3" xfId="0" applyNumberFormat="1" applyFont="1" applyFill="1" applyBorder="1" applyAlignment="1" applyProtection="1">
      <alignment vertical="center" wrapText="1"/>
      <protection hidden="1"/>
    </xf>
    <xf numFmtId="0" fontId="5" fillId="8" borderId="0" xfId="0" applyFont="1" applyFill="1" applyAlignment="1">
      <alignment vertical="center"/>
    </xf>
    <xf numFmtId="0" fontId="3" fillId="8" borderId="0" xfId="2" applyFill="1"/>
    <xf numFmtId="166" fontId="17" fillId="18" borderId="3" xfId="1" applyNumberFormat="1" applyFont="1" applyFill="1" applyBorder="1" applyAlignment="1">
      <alignment vertical="center"/>
    </xf>
    <xf numFmtId="166" fontId="6" fillId="5" borderId="3" xfId="0" applyNumberFormat="1" applyFont="1" applyFill="1" applyBorder="1" applyAlignment="1" applyProtection="1">
      <alignment vertical="center" wrapText="1"/>
      <protection hidden="1"/>
    </xf>
    <xf numFmtId="166" fontId="9" fillId="20" borderId="3" xfId="0" applyNumberFormat="1" applyFont="1" applyFill="1" applyBorder="1" applyAlignment="1" applyProtection="1">
      <alignment vertical="center" wrapText="1"/>
      <protection hidden="1"/>
    </xf>
    <xf numFmtId="0" fontId="18" fillId="0" borderId="0" xfId="1" applyFont="1" applyAlignment="1">
      <alignment wrapText="1"/>
    </xf>
    <xf numFmtId="0" fontId="30" fillId="0" borderId="0" xfId="2" applyFont="1" applyAlignment="1">
      <alignment wrapText="1"/>
    </xf>
    <xf numFmtId="0" fontId="5" fillId="0" borderId="0" xfId="0" applyFont="1" applyAlignment="1">
      <alignment vertical="center" wrapText="1"/>
    </xf>
    <xf numFmtId="9" fontId="9" fillId="18" borderId="3" xfId="5" applyFont="1" applyFill="1" applyBorder="1" applyAlignment="1">
      <alignment horizontal="center" vertical="center"/>
    </xf>
    <xf numFmtId="166" fontId="9" fillId="0" borderId="3" xfId="2" applyNumberFormat="1" applyFont="1" applyBorder="1" applyAlignment="1">
      <alignment vertical="center" wrapText="1"/>
    </xf>
    <xf numFmtId="0" fontId="9" fillId="8" borderId="3" xfId="2" applyFont="1" applyFill="1" applyBorder="1" applyAlignment="1">
      <alignment horizontal="center" vertical="center" wrapText="1"/>
    </xf>
    <xf numFmtId="166" fontId="4" fillId="0" borderId="3" xfId="1" applyNumberFormat="1" applyFont="1" applyBorder="1" applyAlignment="1">
      <alignment vertical="center" wrapText="1"/>
    </xf>
    <xf numFmtId="166" fontId="4" fillId="0" borderId="3" xfId="1" applyNumberFormat="1" applyFont="1" applyBorder="1" applyAlignment="1">
      <alignment horizontal="center" vertical="center"/>
    </xf>
    <xf numFmtId="0" fontId="31" fillId="19" borderId="3" xfId="2" applyFont="1" applyFill="1" applyBorder="1" applyAlignment="1">
      <alignment horizontal="center" vertical="center" wrapText="1"/>
    </xf>
    <xf numFmtId="166" fontId="4" fillId="0" borderId="3" xfId="1" applyNumberFormat="1" applyFont="1" applyBorder="1" applyAlignment="1">
      <alignment horizontal="right" vertical="center"/>
    </xf>
    <xf numFmtId="166" fontId="4" fillId="0" borderId="3" xfId="0" applyNumberFormat="1" applyFont="1" applyBorder="1" applyAlignment="1">
      <alignment vertical="center"/>
    </xf>
    <xf numFmtId="166" fontId="9" fillId="0" borderId="3" xfId="2" applyNumberFormat="1" applyFont="1" applyBorder="1" applyAlignment="1">
      <alignment vertical="center"/>
    </xf>
    <xf numFmtId="166" fontId="9" fillId="0" borderId="3" xfId="2" applyNumberFormat="1" applyFont="1" applyBorder="1" applyAlignment="1">
      <alignment horizontal="right" vertical="center" wrapText="1"/>
    </xf>
    <xf numFmtId="0" fontId="4" fillId="8" borderId="3" xfId="1" applyFont="1" applyFill="1" applyBorder="1" applyAlignment="1" applyProtection="1">
      <alignment horizontal="center" vertical="center" wrapText="1"/>
      <protection locked="0"/>
    </xf>
    <xf numFmtId="166" fontId="4" fillId="0" borderId="3" xfId="1" applyNumberFormat="1" applyFont="1" applyBorder="1" applyAlignment="1" applyProtection="1">
      <alignment vertical="center"/>
      <protection locked="0"/>
    </xf>
    <xf numFmtId="166" fontId="9" fillId="21" borderId="3" xfId="0" applyNumberFormat="1" applyFont="1" applyFill="1" applyBorder="1" applyAlignment="1" applyProtection="1">
      <alignment vertical="center" wrapText="1"/>
      <protection hidden="1"/>
    </xf>
    <xf numFmtId="0" fontId="19" fillId="22" borderId="3" xfId="1" applyFont="1" applyFill="1" applyBorder="1" applyAlignment="1">
      <alignment horizontal="center" vertical="center" wrapText="1"/>
    </xf>
    <xf numFmtId="166" fontId="32" fillId="6" borderId="3" xfId="1" applyNumberFormat="1" applyFont="1" applyFill="1" applyBorder="1" applyAlignment="1">
      <alignment horizontal="center" vertical="center" wrapText="1"/>
    </xf>
    <xf numFmtId="166" fontId="19" fillId="6" borderId="3" xfId="1" applyNumberFormat="1" applyFont="1" applyFill="1" applyBorder="1" applyAlignment="1">
      <alignment vertical="center"/>
    </xf>
    <xf numFmtId="166" fontId="24" fillId="0" borderId="3" xfId="0" applyNumberFormat="1" applyFont="1" applyBorder="1" applyAlignment="1">
      <alignment horizontal="center" vertical="center"/>
    </xf>
    <xf numFmtId="166" fontId="29" fillId="0" borderId="3" xfId="0" applyNumberFormat="1" applyFont="1" applyBorder="1" applyAlignment="1">
      <alignment vertical="center"/>
    </xf>
    <xf numFmtId="166" fontId="24" fillId="0" borderId="3" xfId="0" applyNumberFormat="1" applyFont="1" applyBorder="1" applyAlignment="1">
      <alignment vertical="center"/>
    </xf>
    <xf numFmtId="166" fontId="24" fillId="0" borderId="3" xfId="0" applyNumberFormat="1" applyFont="1" applyBorder="1" applyAlignment="1">
      <alignment horizontal="right" vertical="center"/>
    </xf>
    <xf numFmtId="0" fontId="25" fillId="0" borderId="0" xfId="1" applyFont="1" applyAlignment="1">
      <alignment horizontal="center" vertical="center" wrapText="1"/>
    </xf>
    <xf numFmtId="166" fontId="29" fillId="0" borderId="0" xfId="0" applyNumberFormat="1" applyFont="1" applyAlignment="1">
      <alignment vertical="center"/>
    </xf>
    <xf numFmtId="166" fontId="24" fillId="0" borderId="0" xfId="0" applyNumberFormat="1" applyFont="1" applyAlignment="1">
      <alignment vertical="center"/>
    </xf>
    <xf numFmtId="0" fontId="24" fillId="0" borderId="0" xfId="0" applyFont="1" applyAlignment="1">
      <alignment horizontal="right" vertical="center"/>
    </xf>
    <xf numFmtId="0" fontId="23" fillId="0" borderId="3" xfId="0" applyFont="1" applyBorder="1" applyAlignment="1">
      <alignment horizontal="center" vertical="center"/>
    </xf>
    <xf numFmtId="0" fontId="23" fillId="13" borderId="3" xfId="0" applyFont="1" applyFill="1" applyBorder="1" applyAlignment="1">
      <alignment horizontal="center" vertical="center"/>
    </xf>
    <xf numFmtId="166" fontId="22" fillId="0" borderId="0" xfId="0" applyNumberFormat="1" applyFont="1"/>
    <xf numFmtId="166" fontId="27" fillId="0" borderId="0" xfId="0" applyNumberFormat="1" applyFont="1"/>
    <xf numFmtId="0" fontId="27" fillId="0" borderId="0" xfId="0" applyFont="1"/>
    <xf numFmtId="166" fontId="29" fillId="0" borderId="14" xfId="0" applyNumberFormat="1" applyFont="1" applyBorder="1" applyAlignment="1">
      <alignment horizontal="right" vertical="center"/>
    </xf>
    <xf numFmtId="0" fontId="24" fillId="13" borderId="3" xfId="0" applyFont="1" applyFill="1" applyBorder="1" applyAlignment="1">
      <alignment horizontal="center" vertical="center"/>
    </xf>
    <xf numFmtId="9" fontId="22" fillId="0" borderId="3" xfId="5" applyFont="1" applyBorder="1" applyAlignment="1">
      <alignment horizontal="center" vertical="center"/>
    </xf>
    <xf numFmtId="9" fontId="22" fillId="0" borderId="3" xfId="0" applyNumberFormat="1" applyFont="1" applyBorder="1" applyAlignment="1">
      <alignment horizontal="center" vertical="center"/>
    </xf>
    <xf numFmtId="166" fontId="22" fillId="0" borderId="0" xfId="0" applyNumberFormat="1" applyFont="1" applyAlignment="1">
      <alignment horizontal="right" vertical="center"/>
    </xf>
    <xf numFmtId="0" fontId="27" fillId="13" borderId="3" xfId="0" applyFont="1" applyFill="1" applyBorder="1" applyAlignment="1">
      <alignment horizontal="center" vertical="center"/>
    </xf>
    <xf numFmtId="166" fontId="24" fillId="0" borderId="14" xfId="0" applyNumberFormat="1" applyFont="1" applyBorder="1" applyAlignment="1">
      <alignment horizontal="right" vertical="center"/>
    </xf>
    <xf numFmtId="9" fontId="33" fillId="0" borderId="3" xfId="5" applyFont="1" applyBorder="1" applyAlignment="1">
      <alignment horizontal="center" vertical="center"/>
    </xf>
    <xf numFmtId="9" fontId="34" fillId="0" borderId="3" xfId="5" applyFont="1" applyBorder="1" applyAlignment="1">
      <alignment horizontal="center" vertical="center"/>
    </xf>
    <xf numFmtId="0" fontId="25" fillId="0" borderId="5" xfId="1" applyFont="1" applyBorder="1" applyAlignment="1">
      <alignment horizontal="left" vertical="center" wrapText="1"/>
    </xf>
    <xf numFmtId="0" fontId="24" fillId="0" borderId="5" xfId="0" applyFont="1" applyBorder="1" applyAlignment="1">
      <alignment horizontal="center" vertical="center"/>
    </xf>
    <xf numFmtId="166" fontId="29" fillId="0" borderId="5" xfId="0" applyNumberFormat="1" applyFont="1" applyBorder="1" applyAlignment="1">
      <alignment vertical="center"/>
    </xf>
    <xf numFmtId="166" fontId="29" fillId="0" borderId="15" xfId="0" applyNumberFormat="1" applyFont="1" applyBorder="1" applyAlignment="1">
      <alignment horizontal="right" vertical="center"/>
    </xf>
    <xf numFmtId="0" fontId="23" fillId="13" borderId="5" xfId="0" applyFont="1" applyFill="1" applyBorder="1" applyAlignment="1">
      <alignment horizontal="center" vertical="center"/>
    </xf>
    <xf numFmtId="166" fontId="24" fillId="0" borderId="5" xfId="0" applyNumberFormat="1" applyFont="1" applyBorder="1" applyAlignment="1">
      <alignment vertical="center"/>
    </xf>
    <xf numFmtId="9" fontId="22" fillId="0" borderId="5" xfId="5" applyFont="1" applyBorder="1" applyAlignment="1">
      <alignment horizontal="center" vertical="center"/>
    </xf>
    <xf numFmtId="0" fontId="23" fillId="0" borderId="9" xfId="0" applyFont="1" applyBorder="1" applyAlignment="1">
      <alignment horizontal="center" vertical="center" wrapText="1"/>
    </xf>
    <xf numFmtId="0" fontId="23" fillId="13" borderId="16" xfId="0" applyFont="1" applyFill="1" applyBorder="1" applyAlignment="1">
      <alignment horizontal="center" vertical="center" wrapText="1"/>
    </xf>
    <xf numFmtId="0" fontId="23" fillId="0" borderId="16" xfId="0" applyFont="1" applyBorder="1" applyAlignment="1">
      <alignment horizontal="center" vertical="center" wrapText="1"/>
    </xf>
    <xf numFmtId="0" fontId="23" fillId="0" borderId="17" xfId="0" applyFont="1" applyBorder="1" applyAlignment="1">
      <alignment horizontal="center" vertical="center" wrapText="1"/>
    </xf>
    <xf numFmtId="0" fontId="0" fillId="0" borderId="5" xfId="0" applyBorder="1"/>
    <xf numFmtId="0" fontId="24" fillId="13" borderId="5" xfId="0" applyFont="1" applyFill="1" applyBorder="1" applyAlignment="1">
      <alignment horizontal="center" vertical="center"/>
    </xf>
    <xf numFmtId="0" fontId="23" fillId="0" borderId="7" xfId="0" applyFont="1" applyBorder="1" applyAlignment="1">
      <alignment horizontal="center" vertical="center" textRotation="90" wrapText="1"/>
    </xf>
    <xf numFmtId="166" fontId="24" fillId="0" borderId="5" xfId="0" applyNumberFormat="1" applyFont="1" applyBorder="1" applyAlignment="1">
      <alignment horizontal="center" vertical="center"/>
    </xf>
    <xf numFmtId="166" fontId="24" fillId="0" borderId="15" xfId="0" applyNumberFormat="1" applyFont="1" applyBorder="1" applyAlignment="1">
      <alignment horizontal="center" vertical="center"/>
    </xf>
    <xf numFmtId="0" fontId="22" fillId="0" borderId="5" xfId="0" applyFont="1" applyBorder="1" applyAlignment="1">
      <alignment horizontal="center" vertical="center"/>
    </xf>
    <xf numFmtId="166" fontId="24" fillId="0" borderId="5" xfId="0" applyNumberFormat="1" applyFont="1" applyBorder="1" applyAlignment="1">
      <alignment horizontal="right" vertical="center"/>
    </xf>
    <xf numFmtId="0" fontId="9" fillId="0" borderId="5" xfId="1" applyFont="1" applyBorder="1" applyAlignment="1">
      <alignment horizontal="left" vertical="center" wrapText="1"/>
    </xf>
    <xf numFmtId="166" fontId="24" fillId="0" borderId="15" xfId="0" applyNumberFormat="1" applyFont="1" applyBorder="1" applyAlignment="1">
      <alignment horizontal="right" vertical="center"/>
    </xf>
    <xf numFmtId="9" fontId="34" fillId="0" borderId="5" xfId="5" applyFont="1" applyBorder="1" applyAlignment="1">
      <alignment horizontal="center" vertical="center"/>
    </xf>
    <xf numFmtId="0" fontId="27" fillId="14" borderId="4" xfId="0" applyFont="1" applyFill="1" applyBorder="1" applyAlignment="1">
      <alignment horizontal="center" vertical="center"/>
    </xf>
    <xf numFmtId="9" fontId="33" fillId="0" borderId="5" xfId="5" applyFont="1" applyBorder="1" applyAlignment="1">
      <alignment horizontal="center" vertical="center"/>
    </xf>
    <xf numFmtId="166" fontId="27" fillId="0" borderId="0" xfId="0" applyNumberFormat="1" applyFont="1" applyAlignment="1">
      <alignment horizontal="right" vertical="center"/>
    </xf>
    <xf numFmtId="166" fontId="34" fillId="0" borderId="0" xfId="0" applyNumberFormat="1" applyFont="1"/>
    <xf numFmtId="166" fontId="36" fillId="0" borderId="0" xfId="0" applyNumberFormat="1" applyFont="1"/>
    <xf numFmtId="0" fontId="36" fillId="0" borderId="0" xfId="0" applyFont="1"/>
    <xf numFmtId="166" fontId="34" fillId="0" borderId="0" xfId="0" applyNumberFormat="1" applyFont="1" applyAlignment="1">
      <alignment horizontal="right" vertical="center"/>
    </xf>
    <xf numFmtId="0" fontId="37" fillId="0" borderId="0" xfId="0" applyFont="1"/>
    <xf numFmtId="0" fontId="27" fillId="13" borderId="5" xfId="0" applyFont="1" applyFill="1" applyBorder="1" applyAlignment="1">
      <alignment horizontal="center" vertical="center"/>
    </xf>
    <xf numFmtId="0" fontId="28" fillId="0" borderId="0" xfId="0" applyFont="1" applyAlignment="1">
      <alignment horizontal="center"/>
    </xf>
    <xf numFmtId="8" fontId="27" fillId="0" borderId="0" xfId="0" applyNumberFormat="1" applyFont="1"/>
    <xf numFmtId="0" fontId="23" fillId="0" borderId="12" xfId="0" applyFont="1" applyBorder="1" applyAlignment="1">
      <alignment horizontal="center" vertical="center" textRotation="90" wrapText="1"/>
    </xf>
    <xf numFmtId="166" fontId="34" fillId="0" borderId="0" xfId="0" applyNumberFormat="1" applyFont="1" applyAlignment="1">
      <alignment vertical="center"/>
    </xf>
    <xf numFmtId="166" fontId="38" fillId="0" borderId="0" xfId="0" applyNumberFormat="1" applyFont="1" applyAlignment="1">
      <alignment vertical="center"/>
    </xf>
    <xf numFmtId="0" fontId="23" fillId="0" borderId="5" xfId="0" applyFont="1" applyBorder="1" applyAlignment="1">
      <alignment horizontal="center" vertical="center"/>
    </xf>
    <xf numFmtId="8" fontId="34" fillId="0" borderId="0" xfId="0" applyNumberFormat="1" applyFont="1"/>
    <xf numFmtId="0" fontId="27" fillId="23" borderId="3" xfId="0" applyFont="1" applyFill="1" applyBorder="1" applyAlignment="1">
      <alignment horizontal="center" vertical="center"/>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13" borderId="20" xfId="0" applyFont="1" applyFill="1" applyBorder="1" applyAlignment="1">
      <alignment horizontal="center" vertical="center" wrapText="1"/>
    </xf>
    <xf numFmtId="0" fontId="23" fillId="0" borderId="20" xfId="0" applyFont="1" applyBorder="1" applyAlignment="1">
      <alignment horizontal="center" vertical="center" wrapText="1"/>
    </xf>
    <xf numFmtId="0" fontId="23" fillId="0" borderId="21" xfId="0" applyFont="1" applyBorder="1" applyAlignment="1">
      <alignment horizontal="center" vertical="center" wrapText="1"/>
    </xf>
    <xf numFmtId="0" fontId="34" fillId="0" borderId="0" xfId="0" applyFont="1"/>
    <xf numFmtId="9" fontId="24" fillId="0" borderId="3" xfId="5" applyFont="1" applyBorder="1" applyAlignment="1">
      <alignment horizontal="center" vertical="center"/>
    </xf>
    <xf numFmtId="0" fontId="41" fillId="0" borderId="23" xfId="0" applyFont="1" applyBorder="1" applyAlignment="1">
      <alignment horizontal="center" vertical="center" wrapText="1"/>
    </xf>
    <xf numFmtId="8" fontId="41" fillId="0" borderId="23" xfId="0" applyNumberFormat="1" applyFont="1" applyBorder="1" applyAlignment="1">
      <alignment horizontal="right" vertical="center" wrapText="1"/>
    </xf>
    <xf numFmtId="166" fontId="22" fillId="0" borderId="0" xfId="0" applyNumberFormat="1" applyFont="1" applyAlignment="1">
      <alignment vertical="center"/>
    </xf>
    <xf numFmtId="0" fontId="39" fillId="0" borderId="9" xfId="0" applyFont="1" applyBorder="1"/>
    <xf numFmtId="166" fontId="27" fillId="0" borderId="8" xfId="0" applyNumberFormat="1" applyFont="1" applyBorder="1"/>
    <xf numFmtId="8" fontId="27" fillId="0" borderId="7" xfId="0" applyNumberFormat="1" applyFont="1" applyBorder="1"/>
    <xf numFmtId="166" fontId="22" fillId="0" borderId="25" xfId="0" applyNumberFormat="1" applyFont="1" applyBorder="1" applyAlignment="1">
      <alignment vertical="center"/>
    </xf>
    <xf numFmtId="166" fontId="22" fillId="0" borderId="1" xfId="0" applyNumberFormat="1" applyFont="1" applyBorder="1" applyAlignment="1">
      <alignment vertical="center"/>
    </xf>
    <xf numFmtId="166" fontId="22" fillId="0" borderId="7" xfId="0" applyNumberFormat="1" applyFont="1" applyBorder="1" applyAlignment="1">
      <alignment vertical="center"/>
    </xf>
    <xf numFmtId="166" fontId="22" fillId="0" borderId="8" xfId="0" applyNumberFormat="1" applyFont="1" applyBorder="1" applyAlignment="1">
      <alignment vertical="center"/>
    </xf>
    <xf numFmtId="8" fontId="22" fillId="0" borderId="12" xfId="0" applyNumberFormat="1" applyFont="1" applyBorder="1" applyAlignment="1">
      <alignment vertical="center"/>
    </xf>
    <xf numFmtId="8" fontId="22" fillId="0" borderId="11" xfId="0" applyNumberFormat="1" applyFont="1" applyBorder="1" applyAlignment="1">
      <alignment vertical="center"/>
    </xf>
    <xf numFmtId="8" fontId="22" fillId="0" borderId="7" xfId="0" applyNumberFormat="1" applyFont="1" applyBorder="1" applyAlignment="1">
      <alignment vertical="center"/>
    </xf>
    <xf numFmtId="9" fontId="22" fillId="0" borderId="12" xfId="5" applyFont="1" applyBorder="1" applyAlignment="1">
      <alignment horizontal="center" vertical="center"/>
    </xf>
    <xf numFmtId="9" fontId="22" fillId="0" borderId="7" xfId="5" applyFont="1" applyBorder="1" applyAlignment="1">
      <alignment horizontal="center" vertical="center"/>
    </xf>
    <xf numFmtId="166" fontId="27" fillId="0" borderId="7" xfId="0" applyNumberFormat="1" applyFont="1" applyBorder="1"/>
    <xf numFmtId="9" fontId="22" fillId="14" borderId="12" xfId="5" applyFont="1" applyFill="1" applyBorder="1" applyAlignment="1">
      <alignment horizontal="center" vertical="center"/>
    </xf>
    <xf numFmtId="9" fontId="22" fillId="24" borderId="12" xfId="5" applyFont="1" applyFill="1" applyBorder="1" applyAlignment="1">
      <alignment horizontal="center" vertical="center"/>
    </xf>
    <xf numFmtId="166" fontId="42" fillId="25" borderId="7" xfId="0" applyNumberFormat="1" applyFont="1" applyFill="1" applyBorder="1" applyAlignment="1">
      <alignment horizontal="center" vertical="center" wrapText="1"/>
    </xf>
    <xf numFmtId="0" fontId="42" fillId="26" borderId="28" xfId="0" applyFont="1" applyFill="1" applyBorder="1" applyAlignment="1" applyProtection="1">
      <alignment horizontal="center" vertical="center" wrapText="1"/>
      <protection locked="0"/>
    </xf>
    <xf numFmtId="44" fontId="42" fillId="28" borderId="19" xfId="6" applyFont="1" applyFill="1" applyBorder="1" applyAlignment="1">
      <alignment horizontal="center" vertical="center" wrapText="1"/>
    </xf>
    <xf numFmtId="10" fontId="42" fillId="26" borderId="29" xfId="0" applyNumberFormat="1" applyFont="1" applyFill="1" applyBorder="1" applyAlignment="1" applyProtection="1">
      <alignment horizontal="center" vertical="center" wrapText="1"/>
      <protection locked="0"/>
    </xf>
    <xf numFmtId="10" fontId="43" fillId="30" borderId="30" xfId="0" applyNumberFormat="1" applyFont="1" applyFill="1" applyBorder="1" applyAlignment="1">
      <alignment horizontal="center" vertical="center"/>
    </xf>
    <xf numFmtId="166" fontId="45" fillId="18" borderId="31" xfId="0" applyNumberFormat="1" applyFont="1" applyFill="1" applyBorder="1" applyAlignment="1">
      <alignment vertical="center"/>
    </xf>
    <xf numFmtId="166" fontId="42" fillId="25" borderId="18" xfId="0" applyNumberFormat="1" applyFont="1" applyFill="1" applyBorder="1" applyAlignment="1">
      <alignment horizontal="center" vertical="center" wrapText="1"/>
    </xf>
    <xf numFmtId="166" fontId="44" fillId="31" borderId="32" xfId="0" applyNumberFormat="1" applyFont="1" applyFill="1" applyBorder="1" applyAlignment="1">
      <alignment horizontal="right" vertical="center" wrapText="1"/>
    </xf>
    <xf numFmtId="0" fontId="46" fillId="0" borderId="0" xfId="0" applyFont="1"/>
    <xf numFmtId="0" fontId="42" fillId="2" borderId="3" xfId="1" applyFont="1" applyFill="1" applyBorder="1" applyAlignment="1">
      <alignment horizontal="center" vertical="center" wrapText="1"/>
    </xf>
    <xf numFmtId="0" fontId="47" fillId="2" borderId="3" xfId="1" applyFont="1" applyFill="1" applyBorder="1" applyAlignment="1">
      <alignment horizontal="center" vertical="center" wrapText="1"/>
    </xf>
    <xf numFmtId="0" fontId="46" fillId="0" borderId="3" xfId="0" applyFont="1" applyBorder="1"/>
    <xf numFmtId="0" fontId="46" fillId="0" borderId="3" xfId="0" applyFont="1" applyBorder="1" applyAlignment="1">
      <alignment horizontal="center" vertical="center"/>
    </xf>
    <xf numFmtId="8" fontId="46" fillId="0" borderId="3" xfId="0" applyNumberFormat="1" applyFont="1" applyBorder="1" applyAlignment="1">
      <alignment horizontal="center" vertical="center"/>
    </xf>
    <xf numFmtId="0" fontId="50" fillId="0" borderId="0" xfId="0" applyFont="1"/>
    <xf numFmtId="166" fontId="43" fillId="18" borderId="33" xfId="0" applyNumberFormat="1" applyFont="1" applyFill="1" applyBorder="1" applyAlignment="1">
      <alignment vertical="center"/>
    </xf>
    <xf numFmtId="166" fontId="0" fillId="0" borderId="3" xfId="0" applyNumberFormat="1" applyBorder="1" applyAlignment="1">
      <alignment horizontal="center" vertical="center"/>
    </xf>
    <xf numFmtId="9" fontId="28" fillId="0" borderId="3" xfId="5" applyFont="1" applyBorder="1" applyAlignment="1">
      <alignment horizontal="center" vertical="center"/>
    </xf>
    <xf numFmtId="166" fontId="0" fillId="0" borderId="3" xfId="0" applyNumberFormat="1" applyBorder="1" applyAlignment="1">
      <alignment horizontal="center" vertical="center" wrapText="1"/>
    </xf>
    <xf numFmtId="0" fontId="28" fillId="0" borderId="3" xfId="0" applyFont="1" applyBorder="1" applyAlignment="1">
      <alignment horizontal="center" vertical="center" wrapText="1"/>
    </xf>
    <xf numFmtId="0" fontId="28" fillId="0" borderId="3" xfId="0" applyFont="1" applyBorder="1" applyAlignment="1">
      <alignment horizontal="center"/>
    </xf>
    <xf numFmtId="0" fontId="23" fillId="0" borderId="3" xfId="0" applyFont="1" applyBorder="1" applyAlignment="1">
      <alignment horizontal="center" vertical="center"/>
    </xf>
    <xf numFmtId="0" fontId="25" fillId="0" borderId="3" xfId="1" applyFont="1" applyBorder="1" applyAlignment="1">
      <alignment horizontal="left" vertical="center" wrapText="1"/>
    </xf>
    <xf numFmtId="0" fontId="27" fillId="12" borderId="3" xfId="0" applyFont="1" applyFill="1" applyBorder="1" applyAlignment="1">
      <alignment horizontal="center" vertical="center" wrapText="1"/>
    </xf>
    <xf numFmtId="0" fontId="23" fillId="11" borderId="8" xfId="0" applyFont="1" applyFill="1" applyBorder="1" applyAlignment="1">
      <alignment horizontal="center" vertical="center" wrapText="1"/>
    </xf>
    <xf numFmtId="0" fontId="23" fillId="11" borderId="9" xfId="0" applyFont="1" applyFill="1" applyBorder="1" applyAlignment="1">
      <alignment horizontal="center" vertical="center" wrapText="1"/>
    </xf>
    <xf numFmtId="0" fontId="23" fillId="11" borderId="10" xfId="0" applyFont="1" applyFill="1" applyBorder="1" applyAlignment="1">
      <alignment horizontal="center" vertical="center" wrapText="1"/>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5" fillId="0" borderId="5" xfId="1" applyFont="1" applyBorder="1" applyAlignment="1">
      <alignment horizontal="left" vertical="center" wrapText="1"/>
    </xf>
    <xf numFmtId="1" fontId="25" fillId="13" borderId="14" xfId="1" applyNumberFormat="1" applyFont="1" applyFill="1" applyBorder="1" applyAlignment="1">
      <alignment horizontal="center" vertical="center" wrapText="1"/>
    </xf>
    <xf numFmtId="166" fontId="26" fillId="0" borderId="14" xfId="1" applyNumberFormat="1" applyFont="1" applyBorder="1" applyAlignment="1">
      <alignment horizontal="right" vertical="center" wrapText="1"/>
    </xf>
    <xf numFmtId="0" fontId="26" fillId="0" borderId="14" xfId="1" applyFont="1" applyBorder="1" applyAlignment="1">
      <alignment horizontal="right" vertical="center" wrapText="1"/>
    </xf>
    <xf numFmtId="9" fontId="35" fillId="0" borderId="14" xfId="5" applyFont="1" applyBorder="1" applyAlignment="1">
      <alignment horizontal="center" vertical="center" wrapText="1"/>
    </xf>
    <xf numFmtId="9" fontId="35" fillId="0" borderId="3" xfId="5" applyFont="1" applyBorder="1" applyAlignment="1">
      <alignment horizontal="center" vertical="center" wrapText="1"/>
    </xf>
    <xf numFmtId="0" fontId="25" fillId="0" borderId="4" xfId="1" applyFont="1" applyBorder="1" applyAlignment="1">
      <alignment horizontal="center" vertical="center" wrapText="1"/>
    </xf>
    <xf numFmtId="0" fontId="25" fillId="0" borderId="5" xfId="1" applyFont="1" applyBorder="1" applyAlignment="1">
      <alignment horizontal="center" vertical="center" wrapText="1"/>
    </xf>
    <xf numFmtId="0" fontId="25" fillId="0" borderId="3" xfId="1" applyFont="1" applyBorder="1" applyAlignment="1">
      <alignment horizontal="center" vertical="center" wrapText="1"/>
    </xf>
    <xf numFmtId="0" fontId="26" fillId="0" borderId="3" xfId="1" applyFont="1" applyBorder="1" applyAlignment="1">
      <alignment horizontal="center" vertical="center" wrapText="1"/>
    </xf>
    <xf numFmtId="166" fontId="26" fillId="0" borderId="3" xfId="1" applyNumberFormat="1" applyFont="1" applyBorder="1" applyAlignment="1">
      <alignment horizontal="right" vertical="center" wrapText="1"/>
    </xf>
    <xf numFmtId="8" fontId="27" fillId="12" borderId="3" xfId="0" applyNumberFormat="1" applyFont="1" applyFill="1" applyBorder="1" applyAlignment="1">
      <alignment horizontal="center" vertical="center"/>
    </xf>
    <xf numFmtId="8" fontId="27" fillId="12" borderId="4" xfId="0" applyNumberFormat="1" applyFont="1" applyFill="1" applyBorder="1" applyAlignment="1">
      <alignment horizontal="center" vertical="center"/>
    </xf>
    <xf numFmtId="0" fontId="40" fillId="0" borderId="12" xfId="0" applyFont="1" applyBorder="1" applyAlignment="1">
      <alignment horizontal="center" vertical="center" wrapText="1"/>
    </xf>
    <xf numFmtId="0" fontId="40" fillId="0" borderId="22"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18" xfId="0" applyFont="1" applyBorder="1" applyAlignment="1">
      <alignment horizontal="center" vertical="center" wrapText="1"/>
    </xf>
    <xf numFmtId="0" fontId="40" fillId="0" borderId="26" xfId="0" applyFont="1" applyBorder="1" applyAlignment="1">
      <alignment horizontal="center" vertical="center" wrapText="1"/>
    </xf>
    <xf numFmtId="0" fontId="40" fillId="0" borderId="23" xfId="0" applyFont="1" applyBorder="1" applyAlignment="1">
      <alignment horizontal="center" vertical="center" wrapText="1"/>
    </xf>
    <xf numFmtId="0" fontId="41" fillId="0" borderId="25" xfId="0" applyFont="1" applyBorder="1" applyAlignment="1">
      <alignment horizontal="center" vertical="center" wrapText="1"/>
    </xf>
    <xf numFmtId="0" fontId="41" fillId="0" borderId="18" xfId="0" applyFont="1" applyBorder="1" applyAlignment="1">
      <alignment horizontal="center" vertical="center" wrapText="1"/>
    </xf>
    <xf numFmtId="0" fontId="41" fillId="0" borderId="26" xfId="0" applyFont="1" applyBorder="1" applyAlignment="1">
      <alignment horizontal="center" vertical="center" wrapText="1"/>
    </xf>
    <xf numFmtId="0" fontId="41" fillId="0" borderId="23" xfId="0" applyFont="1" applyBorder="1" applyAlignment="1">
      <alignment horizontal="center" vertical="center" wrapText="1"/>
    </xf>
    <xf numFmtId="0" fontId="39" fillId="0" borderId="8" xfId="0" applyFont="1" applyBorder="1" applyAlignment="1">
      <alignment horizontal="center"/>
    </xf>
    <xf numFmtId="0" fontId="39" fillId="0" borderId="9" xfId="0" applyFont="1" applyBorder="1" applyAlignment="1">
      <alignment horizontal="center"/>
    </xf>
    <xf numFmtId="0" fontId="41" fillId="0" borderId="8" xfId="0" applyFont="1" applyBorder="1" applyAlignment="1">
      <alignment horizontal="center" vertical="center" wrapText="1"/>
    </xf>
    <xf numFmtId="0" fontId="41" fillId="0" borderId="10" xfId="0" applyFont="1" applyBorder="1" applyAlignment="1">
      <alignment horizontal="center" vertical="center" wrapText="1"/>
    </xf>
    <xf numFmtId="0" fontId="40" fillId="0" borderId="19" xfId="0" applyFont="1" applyBorder="1" applyAlignment="1">
      <alignment horizontal="center" vertical="center" wrapText="1"/>
    </xf>
    <xf numFmtId="0" fontId="40" fillId="0" borderId="27" xfId="0" applyFont="1" applyBorder="1" applyAlignment="1">
      <alignment horizontal="center" vertical="center" wrapText="1"/>
    </xf>
    <xf numFmtId="0" fontId="41" fillId="0" borderId="19" xfId="0" applyFont="1" applyBorder="1" applyAlignment="1">
      <alignment horizontal="center" vertical="center" wrapText="1"/>
    </xf>
    <xf numFmtId="0" fontId="41" fillId="0" borderId="27" xfId="0" applyFont="1" applyBorder="1" applyAlignment="1">
      <alignment horizontal="center" vertical="center" wrapText="1"/>
    </xf>
    <xf numFmtId="0" fontId="41" fillId="0" borderId="9" xfId="0" applyFont="1" applyBorder="1" applyAlignment="1">
      <alignment horizontal="center" vertical="center" wrapText="1"/>
    </xf>
    <xf numFmtId="0" fontId="41" fillId="0" borderId="11"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0" xfId="0" applyFont="1" applyAlignment="1">
      <alignment horizontal="center" vertical="center" wrapText="1"/>
    </xf>
    <xf numFmtId="0" fontId="41" fillId="0" borderId="24" xfId="0" applyFont="1" applyBorder="1" applyAlignment="1">
      <alignment horizontal="center" vertical="center" wrapText="1"/>
    </xf>
    <xf numFmtId="167" fontId="49" fillId="15" borderId="4" xfId="0" applyNumberFormat="1" applyFont="1" applyFill="1" applyBorder="1" applyAlignment="1" applyProtection="1">
      <alignment horizontal="center" vertical="center" wrapText="1"/>
      <protection hidden="1"/>
    </xf>
    <xf numFmtId="167" fontId="49" fillId="15" borderId="34" xfId="0" applyNumberFormat="1" applyFont="1" applyFill="1" applyBorder="1" applyAlignment="1" applyProtection="1">
      <alignment horizontal="center" vertical="center" wrapText="1"/>
      <protection hidden="1"/>
    </xf>
    <xf numFmtId="167" fontId="49" fillId="32" borderId="4" xfId="0" applyNumberFormat="1" applyFont="1" applyFill="1" applyBorder="1" applyAlignment="1" applyProtection="1">
      <alignment horizontal="center" vertical="center" wrapText="1"/>
      <protection hidden="1"/>
    </xf>
    <xf numFmtId="167" fontId="49" fillId="32" borderId="34" xfId="0" applyNumberFormat="1" applyFont="1" applyFill="1" applyBorder="1" applyAlignment="1" applyProtection="1">
      <alignment horizontal="center" vertical="center" wrapText="1"/>
      <protection hidden="1"/>
    </xf>
    <xf numFmtId="168" fontId="49" fillId="15" borderId="4" xfId="0" applyNumberFormat="1" applyFont="1" applyFill="1" applyBorder="1" applyAlignment="1" applyProtection="1">
      <alignment horizontal="center" vertical="center" wrapText="1"/>
      <protection hidden="1"/>
    </xf>
    <xf numFmtId="168" fontId="49" fillId="15" borderId="34" xfId="0" applyNumberFormat="1" applyFont="1" applyFill="1" applyBorder="1" applyAlignment="1" applyProtection="1">
      <alignment horizontal="center" vertical="center" wrapText="1"/>
      <protection hidden="1"/>
    </xf>
    <xf numFmtId="0" fontId="43" fillId="27" borderId="12" xfId="0" applyFont="1" applyFill="1" applyBorder="1" applyAlignment="1" applyProtection="1">
      <alignment horizontal="center" vertical="center" wrapText="1"/>
      <protection locked="0"/>
    </xf>
    <xf numFmtId="0" fontId="43" fillId="27" borderId="11" xfId="0" applyFont="1" applyFill="1" applyBorder="1" applyAlignment="1" applyProtection="1">
      <alignment horizontal="center" vertical="center" wrapText="1"/>
      <protection locked="0"/>
    </xf>
    <xf numFmtId="0" fontId="43" fillId="29" borderId="12" xfId="0" applyFont="1" applyFill="1" applyBorder="1" applyAlignment="1" applyProtection="1">
      <alignment horizontal="center" vertical="center" wrapText="1"/>
      <protection locked="0"/>
    </xf>
    <xf numFmtId="0" fontId="43" fillId="29" borderId="11" xfId="0" applyFont="1" applyFill="1" applyBorder="1" applyAlignment="1" applyProtection="1">
      <alignment horizontal="center" vertical="center" wrapText="1"/>
      <protection locked="0"/>
    </xf>
    <xf numFmtId="0" fontId="42" fillId="2" borderId="3" xfId="1" applyFont="1" applyFill="1" applyBorder="1" applyAlignment="1">
      <alignment horizontal="center" vertical="center" wrapText="1"/>
    </xf>
    <xf numFmtId="0" fontId="46" fillId="0" borderId="3" xfId="0" applyFont="1" applyBorder="1" applyAlignment="1">
      <alignment horizontal="left" wrapText="1"/>
    </xf>
    <xf numFmtId="0" fontId="46" fillId="0" borderId="3" xfId="0" applyFont="1" applyBorder="1" applyAlignment="1">
      <alignment horizontal="left"/>
    </xf>
    <xf numFmtId="166" fontId="9" fillId="0" borderId="3" xfId="2" applyNumberFormat="1" applyFont="1" applyBorder="1" applyAlignment="1">
      <alignment horizontal="center" vertical="center"/>
    </xf>
    <xf numFmtId="0" fontId="9" fillId="0" borderId="3" xfId="2" applyFont="1" applyBorder="1" applyAlignment="1">
      <alignment horizontal="center" vertical="center"/>
    </xf>
    <xf numFmtId="166" fontId="11" fillId="0" borderId="13" xfId="1" applyNumberFormat="1" applyFont="1" applyBorder="1" applyAlignment="1">
      <alignment horizontal="center" vertical="center"/>
    </xf>
    <xf numFmtId="0" fontId="9" fillId="0" borderId="3" xfId="1" applyFont="1" applyBorder="1" applyAlignment="1">
      <alignment horizontal="left" vertical="center" wrapText="1"/>
    </xf>
    <xf numFmtId="166" fontId="9" fillId="0" borderId="3" xfId="2" applyNumberFormat="1" applyFont="1" applyBorder="1" applyAlignment="1">
      <alignment horizontal="center" vertical="center" wrapText="1"/>
    </xf>
    <xf numFmtId="0" fontId="9" fillId="0" borderId="3" xfId="2" applyFont="1" applyBorder="1" applyAlignment="1">
      <alignment horizontal="center" vertical="center" wrapText="1"/>
    </xf>
    <xf numFmtId="0" fontId="31" fillId="8" borderId="3" xfId="2" applyFont="1" applyFill="1" applyBorder="1" applyAlignment="1">
      <alignment horizontal="center" vertical="center" wrapText="1"/>
    </xf>
    <xf numFmtId="166" fontId="6" fillId="0" borderId="4" xfId="1" applyNumberFormat="1" applyFont="1" applyBorder="1" applyAlignment="1">
      <alignment horizontal="center" vertical="center" wrapText="1"/>
    </xf>
    <xf numFmtId="166" fontId="6" fillId="0" borderId="5" xfId="1" applyNumberFormat="1" applyFont="1" applyBorder="1" applyAlignment="1">
      <alignment horizontal="center" vertical="center" wrapText="1"/>
    </xf>
    <xf numFmtId="166" fontId="9" fillId="0" borderId="4" xfId="1" applyNumberFormat="1" applyFont="1" applyBorder="1" applyAlignment="1">
      <alignment horizontal="center" vertical="center" wrapText="1"/>
    </xf>
    <xf numFmtId="0" fontId="9" fillId="0" borderId="5" xfId="1" applyFont="1" applyBorder="1" applyAlignment="1">
      <alignment horizontal="center" vertical="center" wrapText="1"/>
    </xf>
    <xf numFmtId="0" fontId="9" fillId="0" borderId="4" xfId="1" applyFont="1" applyBorder="1" applyAlignment="1">
      <alignment horizontal="center" vertical="center" wrapText="1"/>
    </xf>
    <xf numFmtId="166" fontId="6" fillId="0" borderId="4" xfId="1" applyNumberFormat="1" applyFont="1" applyBorder="1" applyAlignment="1">
      <alignment horizontal="right" vertical="center" wrapText="1"/>
    </xf>
    <xf numFmtId="166" fontId="6" fillId="0" borderId="5" xfId="1" applyNumberFormat="1" applyFont="1" applyBorder="1" applyAlignment="1">
      <alignment horizontal="right" vertical="center" wrapText="1"/>
    </xf>
    <xf numFmtId="166" fontId="12" fillId="0" borderId="4" xfId="4" quotePrefix="1" applyNumberFormat="1" applyFont="1" applyFill="1" applyBorder="1" applyAlignment="1" applyProtection="1">
      <alignment horizontal="right" vertical="center" wrapText="1"/>
    </xf>
    <xf numFmtId="166" fontId="12" fillId="0" borderId="5" xfId="4" quotePrefix="1" applyNumberFormat="1" applyFont="1" applyFill="1" applyBorder="1" applyAlignment="1" applyProtection="1">
      <alignment horizontal="right" vertical="center" wrapText="1"/>
    </xf>
    <xf numFmtId="166" fontId="9" fillId="0" borderId="4" xfId="1" applyNumberFormat="1" applyFont="1" applyBorder="1" applyAlignment="1">
      <alignment horizontal="right" vertical="center" wrapText="1"/>
    </xf>
    <xf numFmtId="166" fontId="9" fillId="0" borderId="5" xfId="1" applyNumberFormat="1" applyFont="1" applyBorder="1" applyAlignment="1">
      <alignment horizontal="right" vertical="center" wrapText="1"/>
    </xf>
    <xf numFmtId="0" fontId="9" fillId="0" borderId="0" xfId="1" applyFont="1" applyAlignment="1">
      <alignment horizontal="left" vertical="center" wrapText="1"/>
    </xf>
    <xf numFmtId="166" fontId="6" fillId="18" borderId="4" xfId="1" applyNumberFormat="1" applyFont="1" applyFill="1" applyBorder="1" applyAlignment="1">
      <alignment horizontal="center" vertical="center" wrapText="1"/>
    </xf>
    <xf numFmtId="0" fontId="6" fillId="18" borderId="5" xfId="1" applyFont="1" applyFill="1" applyBorder="1" applyAlignment="1">
      <alignment horizontal="center" vertical="center" wrapText="1"/>
    </xf>
    <xf numFmtId="0" fontId="6" fillId="0" borderId="5" xfId="1" applyFont="1" applyBorder="1" applyAlignment="1">
      <alignment horizontal="center" vertical="center" wrapText="1"/>
    </xf>
    <xf numFmtId="9" fontId="9" fillId="0" borderId="4" xfId="5" applyFont="1" applyBorder="1" applyAlignment="1">
      <alignment horizontal="center" vertical="center" wrapText="1"/>
    </xf>
    <xf numFmtId="9" fontId="9" fillId="0" borderId="5" xfId="5" applyFont="1" applyBorder="1" applyAlignment="1">
      <alignment horizontal="center" vertical="center" wrapText="1"/>
    </xf>
    <xf numFmtId="166" fontId="9" fillId="8" borderId="4" xfId="1" applyNumberFormat="1" applyFont="1" applyFill="1" applyBorder="1" applyAlignment="1">
      <alignment horizontal="center" vertical="center" wrapText="1"/>
    </xf>
    <xf numFmtId="0" fontId="9" fillId="8" borderId="5" xfId="1" applyFont="1" applyFill="1" applyBorder="1" applyAlignment="1">
      <alignment horizontal="center" vertical="center" wrapText="1"/>
    </xf>
    <xf numFmtId="168" fontId="6" fillId="0" borderId="4" xfId="1" applyNumberFormat="1" applyFont="1" applyBorder="1" applyAlignment="1">
      <alignment horizontal="center" vertical="center" wrapText="1"/>
    </xf>
    <xf numFmtId="168" fontId="6" fillId="0" borderId="5" xfId="1" applyNumberFormat="1" applyFont="1" applyBorder="1" applyAlignment="1">
      <alignment horizontal="center" vertical="center" wrapText="1"/>
    </xf>
    <xf numFmtId="168" fontId="9" fillId="0" borderId="4" xfId="1" applyNumberFormat="1" applyFont="1" applyBorder="1" applyAlignment="1">
      <alignment horizontal="center" vertical="center" wrapText="1"/>
    </xf>
    <xf numFmtId="168" fontId="9" fillId="0" borderId="5" xfId="1" applyNumberFormat="1" applyFont="1" applyBorder="1" applyAlignment="1">
      <alignment horizontal="center" vertical="center" wrapText="1"/>
    </xf>
    <xf numFmtId="0" fontId="9" fillId="13" borderId="3" xfId="1" applyFont="1" applyFill="1" applyBorder="1" applyAlignment="1">
      <alignment horizontal="left" vertical="center" wrapText="1"/>
    </xf>
    <xf numFmtId="167" fontId="20" fillId="4" borderId="4" xfId="0" applyNumberFormat="1" applyFont="1" applyFill="1" applyBorder="1" applyAlignment="1" applyProtection="1">
      <alignment horizontal="center" vertical="center" wrapText="1"/>
      <protection hidden="1"/>
    </xf>
    <xf numFmtId="167" fontId="20" fillId="4" borderId="5" xfId="0" applyNumberFormat="1" applyFont="1" applyFill="1" applyBorder="1" applyAlignment="1" applyProtection="1">
      <alignment horizontal="center" vertical="center" wrapText="1"/>
      <protection hidden="1"/>
    </xf>
    <xf numFmtId="168" fontId="9" fillId="15" borderId="4" xfId="0" applyNumberFormat="1" applyFont="1" applyFill="1" applyBorder="1" applyAlignment="1" applyProtection="1">
      <alignment horizontal="center" vertical="center" wrapText="1"/>
      <protection hidden="1"/>
    </xf>
    <xf numFmtId="168" fontId="9" fillId="15" borderId="5" xfId="0" applyNumberFormat="1" applyFont="1" applyFill="1" applyBorder="1" applyAlignment="1" applyProtection="1">
      <alignment horizontal="center" vertical="center" wrapText="1"/>
      <protection hidden="1"/>
    </xf>
    <xf numFmtId="167" fontId="9" fillId="15" borderId="4" xfId="0" applyNumberFormat="1" applyFont="1" applyFill="1" applyBorder="1" applyAlignment="1" applyProtection="1">
      <alignment horizontal="center" vertical="center" wrapText="1"/>
      <protection hidden="1"/>
    </xf>
    <xf numFmtId="167" fontId="9" fillId="15" borderId="5" xfId="0" applyNumberFormat="1" applyFont="1" applyFill="1" applyBorder="1" applyAlignment="1" applyProtection="1">
      <alignment horizontal="center" vertical="center" wrapText="1"/>
      <protection hidden="1"/>
    </xf>
    <xf numFmtId="167" fontId="20" fillId="16" borderId="4" xfId="0" applyNumberFormat="1" applyFont="1" applyFill="1" applyBorder="1" applyAlignment="1" applyProtection="1">
      <alignment horizontal="center" vertical="center" wrapText="1"/>
      <protection hidden="1"/>
    </xf>
    <xf numFmtId="167" fontId="20" fillId="16" borderId="5" xfId="0" applyNumberFormat="1" applyFont="1" applyFill="1" applyBorder="1" applyAlignment="1" applyProtection="1">
      <alignment horizontal="center" vertical="center" wrapText="1"/>
      <protection hidden="1"/>
    </xf>
    <xf numFmtId="0" fontId="9" fillId="2" borderId="3" xfId="1" applyFont="1" applyFill="1" applyBorder="1" applyAlignment="1">
      <alignment horizontal="center" vertical="center" wrapText="1"/>
    </xf>
    <xf numFmtId="167" fontId="20" fillId="17" borderId="4" xfId="0" applyNumberFormat="1" applyFont="1" applyFill="1" applyBorder="1" applyAlignment="1" applyProtection="1">
      <alignment horizontal="center" vertical="center" wrapText="1"/>
      <protection hidden="1"/>
    </xf>
    <xf numFmtId="167" fontId="20" fillId="17" borderId="5" xfId="0" applyNumberFormat="1" applyFont="1" applyFill="1" applyBorder="1" applyAlignment="1" applyProtection="1">
      <alignment horizontal="center" vertical="center" wrapText="1"/>
      <protection hidden="1"/>
    </xf>
    <xf numFmtId="0" fontId="9" fillId="3" borderId="2" xfId="2" applyFont="1" applyFill="1" applyBorder="1" applyAlignment="1">
      <alignment horizontal="center" vertical="center" wrapText="1"/>
    </xf>
    <xf numFmtId="0" fontId="9" fillId="3" borderId="6" xfId="2" applyFont="1" applyFill="1" applyBorder="1" applyAlignment="1">
      <alignment horizontal="center" vertical="center" wrapText="1"/>
    </xf>
    <xf numFmtId="0" fontId="9" fillId="6" borderId="2" xfId="2" applyFont="1" applyFill="1" applyBorder="1" applyAlignment="1">
      <alignment horizontal="center" vertical="center" wrapText="1"/>
    </xf>
    <xf numFmtId="0" fontId="9" fillId="6" borderId="6" xfId="2" applyFont="1" applyFill="1" applyBorder="1" applyAlignment="1">
      <alignment horizontal="center" vertical="center" wrapText="1"/>
    </xf>
    <xf numFmtId="168" fontId="9" fillId="9" borderId="2" xfId="2" applyNumberFormat="1" applyFont="1" applyFill="1" applyBorder="1" applyAlignment="1">
      <alignment horizontal="center" vertical="center" wrapText="1"/>
    </xf>
    <xf numFmtId="168" fontId="9" fillId="9" borderId="6" xfId="2" applyNumberFormat="1" applyFont="1" applyFill="1" applyBorder="1" applyAlignment="1">
      <alignment horizontal="center" vertical="center" wrapText="1"/>
    </xf>
    <xf numFmtId="168" fontId="20" fillId="15" borderId="4" xfId="0" applyNumberFormat="1" applyFont="1" applyFill="1" applyBorder="1" applyAlignment="1" applyProtection="1">
      <alignment horizontal="center" vertical="center" wrapText="1"/>
      <protection hidden="1"/>
    </xf>
    <xf numFmtId="168" fontId="20" fillId="15" borderId="5" xfId="0" applyNumberFormat="1" applyFont="1" applyFill="1" applyBorder="1" applyAlignment="1" applyProtection="1">
      <alignment horizontal="center" vertical="center" wrapText="1"/>
      <protection hidden="1"/>
    </xf>
    <xf numFmtId="167" fontId="20" fillId="15" borderId="4" xfId="0" applyNumberFormat="1" applyFont="1" applyFill="1" applyBorder="1" applyAlignment="1" applyProtection="1">
      <alignment horizontal="center" vertical="center" wrapText="1"/>
      <protection hidden="1"/>
    </xf>
    <xf numFmtId="167" fontId="20" fillId="15" borderId="5" xfId="0" applyNumberFormat="1" applyFont="1" applyFill="1" applyBorder="1" applyAlignment="1" applyProtection="1">
      <alignment horizontal="center" vertical="center" wrapText="1"/>
      <protection hidden="1"/>
    </xf>
    <xf numFmtId="168" fontId="9" fillId="10" borderId="2" xfId="2" applyNumberFormat="1" applyFont="1" applyFill="1" applyBorder="1" applyAlignment="1">
      <alignment horizontal="center" vertical="center" wrapText="1"/>
    </xf>
    <xf numFmtId="168" fontId="9" fillId="10" borderId="6" xfId="2" applyNumberFormat="1" applyFont="1" applyFill="1" applyBorder="1" applyAlignment="1">
      <alignment horizontal="center" vertical="center" wrapText="1"/>
    </xf>
    <xf numFmtId="166" fontId="6" fillId="0" borderId="4" xfId="6" applyNumberFormat="1" applyFont="1" applyBorder="1" applyAlignment="1">
      <alignment horizontal="right" vertical="center" wrapText="1"/>
    </xf>
    <xf numFmtId="166" fontId="6" fillId="0" borderId="5" xfId="6" applyNumberFormat="1" applyFont="1" applyBorder="1" applyAlignment="1">
      <alignment horizontal="right" vertical="center" wrapText="1"/>
    </xf>
    <xf numFmtId="44" fontId="9" fillId="0" borderId="4" xfId="6" applyFont="1" applyBorder="1" applyAlignment="1">
      <alignment horizontal="center" vertical="center" wrapText="1"/>
    </xf>
    <xf numFmtId="44" fontId="9" fillId="0" borderId="5" xfId="6" applyFont="1" applyBorder="1" applyAlignment="1">
      <alignment horizontal="center" vertical="center" wrapText="1"/>
    </xf>
    <xf numFmtId="0" fontId="9" fillId="8" borderId="2" xfId="2" applyFont="1" applyFill="1" applyBorder="1" applyAlignment="1">
      <alignment horizontal="center" vertical="center" wrapText="1"/>
    </xf>
    <xf numFmtId="0" fontId="9" fillId="8" borderId="6" xfId="2" applyFont="1" applyFill="1" applyBorder="1" applyAlignment="1">
      <alignment horizontal="center" vertical="center" wrapText="1"/>
    </xf>
    <xf numFmtId="0" fontId="9" fillId="7" borderId="2" xfId="2" applyFont="1" applyFill="1" applyBorder="1" applyAlignment="1">
      <alignment horizontal="center" vertical="center" wrapText="1"/>
    </xf>
    <xf numFmtId="0" fontId="9" fillId="7" borderId="6" xfId="2" applyFont="1" applyFill="1" applyBorder="1" applyAlignment="1">
      <alignment horizontal="center" vertical="center" wrapText="1"/>
    </xf>
  </cellXfs>
  <cellStyles count="7">
    <cellStyle name="Millares 2 4" xfId="3" xr:uid="{17131026-3A4F-49D2-AABD-741A61D30E1D}"/>
    <cellStyle name="Moneda" xfId="6" builtinId="4"/>
    <cellStyle name="Moneda [0] 4" xfId="4" xr:uid="{2DA76E61-80D7-4021-A5D5-45E7F550CCA4}"/>
    <cellStyle name="Normal" xfId="0" builtinId="0"/>
    <cellStyle name="Normal 2 3" xfId="2" xr:uid="{2B8D0BC6-9F3F-4B88-91CB-6E6030333689}"/>
    <cellStyle name="Normal 7" xfId="1" xr:uid="{B62F9C2B-6D9E-4844-8C10-648489C0B024}"/>
    <cellStyle name="Porcentaje" xfId="5" builtinId="5"/>
  </cellStyles>
  <dxfs count="0"/>
  <tableStyles count="0" defaultTableStyle="TableStyleMedium2" defaultPivotStyle="PivotStyleLight16"/>
  <colors>
    <mruColors>
      <color rgb="FFA8D8DA"/>
      <color rgb="FFCBB7BC"/>
      <color rgb="FFACAED6"/>
      <color rgb="FF88B6FA"/>
      <color rgb="FFC7CA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9.png"/></Relationships>
</file>

<file path=xl/drawings/_rels/drawing3.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6.png"/><Relationship Id="rId7" Type="http://schemas.openxmlformats.org/officeDocument/2006/relationships/image" Target="../media/image5.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4.png"/><Relationship Id="rId11" Type="http://schemas.openxmlformats.org/officeDocument/2006/relationships/image" Target="../media/image20.png"/><Relationship Id="rId5" Type="http://schemas.openxmlformats.org/officeDocument/2006/relationships/image" Target="../media/image3.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7.png"/><Relationship Id="rId9" Type="http://schemas.openxmlformats.org/officeDocument/2006/relationships/image" Target="../media/image9.png"/><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6.png"/><Relationship Id="rId7" Type="http://schemas.openxmlformats.org/officeDocument/2006/relationships/image" Target="../media/image5.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4.png"/><Relationship Id="rId11" Type="http://schemas.openxmlformats.org/officeDocument/2006/relationships/image" Target="../media/image20.png"/><Relationship Id="rId5" Type="http://schemas.openxmlformats.org/officeDocument/2006/relationships/image" Target="../media/image3.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7.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3</xdr:col>
      <xdr:colOff>311150</xdr:colOff>
      <xdr:row>5</xdr:row>
      <xdr:rowOff>508001</xdr:rowOff>
    </xdr:from>
    <xdr:to>
      <xdr:col>3</xdr:col>
      <xdr:colOff>1019106</xdr:colOff>
      <xdr:row>5</xdr:row>
      <xdr:rowOff>1491119</xdr:rowOff>
    </xdr:to>
    <xdr:pic>
      <xdr:nvPicPr>
        <xdr:cNvPr id="2" name="Imagen 1">
          <a:extLst>
            <a:ext uri="{FF2B5EF4-FFF2-40B4-BE49-F238E27FC236}">
              <a16:creationId xmlns:a16="http://schemas.microsoft.com/office/drawing/2014/main" id="{5EE464CF-A4CB-470F-AAD2-3E8B3745C66A}"/>
            </a:ext>
          </a:extLst>
        </xdr:cNvPr>
        <xdr:cNvPicPr>
          <a:picLocks noChangeAspect="1"/>
        </xdr:cNvPicPr>
      </xdr:nvPicPr>
      <xdr:blipFill>
        <a:blip xmlns:r="http://schemas.openxmlformats.org/officeDocument/2006/relationships" r:embed="rId1"/>
        <a:stretch>
          <a:fillRect/>
        </a:stretch>
      </xdr:blipFill>
      <xdr:spPr>
        <a:xfrm>
          <a:off x="3467100" y="2133601"/>
          <a:ext cx="707956" cy="983118"/>
        </a:xfrm>
        <a:prstGeom prst="rect">
          <a:avLst/>
        </a:prstGeom>
      </xdr:spPr>
    </xdr:pic>
    <xdr:clientData/>
  </xdr:twoCellAnchor>
  <xdr:twoCellAnchor editAs="oneCell">
    <xdr:from>
      <xdr:col>3</xdr:col>
      <xdr:colOff>114300</xdr:colOff>
      <xdr:row>6</xdr:row>
      <xdr:rowOff>260350</xdr:rowOff>
    </xdr:from>
    <xdr:to>
      <xdr:col>3</xdr:col>
      <xdr:colOff>1224358</xdr:colOff>
      <xdr:row>6</xdr:row>
      <xdr:rowOff>1111250</xdr:rowOff>
    </xdr:to>
    <xdr:pic>
      <xdr:nvPicPr>
        <xdr:cNvPr id="4" name="Imagen 3">
          <a:extLst>
            <a:ext uri="{FF2B5EF4-FFF2-40B4-BE49-F238E27FC236}">
              <a16:creationId xmlns:a16="http://schemas.microsoft.com/office/drawing/2014/main" id="{FD63328F-1256-4FDA-8372-3A12074D1D22}"/>
            </a:ext>
          </a:extLst>
        </xdr:cNvPr>
        <xdr:cNvPicPr>
          <a:picLocks noChangeAspect="1"/>
        </xdr:cNvPicPr>
      </xdr:nvPicPr>
      <xdr:blipFill>
        <a:blip xmlns:r="http://schemas.openxmlformats.org/officeDocument/2006/relationships" r:embed="rId2"/>
        <a:stretch>
          <a:fillRect/>
        </a:stretch>
      </xdr:blipFill>
      <xdr:spPr>
        <a:xfrm>
          <a:off x="3270250" y="3873500"/>
          <a:ext cx="1110058" cy="850900"/>
        </a:xfrm>
        <a:prstGeom prst="rect">
          <a:avLst/>
        </a:prstGeom>
      </xdr:spPr>
    </xdr:pic>
    <xdr:clientData/>
  </xdr:twoCellAnchor>
  <xdr:twoCellAnchor editAs="oneCell">
    <xdr:from>
      <xdr:col>3</xdr:col>
      <xdr:colOff>137446</xdr:colOff>
      <xdr:row>16</xdr:row>
      <xdr:rowOff>240530</xdr:rowOff>
    </xdr:from>
    <xdr:to>
      <xdr:col>3</xdr:col>
      <xdr:colOff>1200592</xdr:colOff>
      <xdr:row>16</xdr:row>
      <xdr:rowOff>1116062</xdr:rowOff>
    </xdr:to>
    <xdr:pic>
      <xdr:nvPicPr>
        <xdr:cNvPr id="5" name="Imagen 4">
          <a:extLst>
            <a:ext uri="{FF2B5EF4-FFF2-40B4-BE49-F238E27FC236}">
              <a16:creationId xmlns:a16="http://schemas.microsoft.com/office/drawing/2014/main" id="{0E9C3E1F-F3F5-4116-ACF0-8990AB6E499E}"/>
            </a:ext>
          </a:extLst>
        </xdr:cNvPr>
        <xdr:cNvPicPr>
          <a:picLocks noChangeAspect="1"/>
        </xdr:cNvPicPr>
      </xdr:nvPicPr>
      <xdr:blipFill>
        <a:blip xmlns:r="http://schemas.openxmlformats.org/officeDocument/2006/relationships" r:embed="rId3"/>
        <a:stretch>
          <a:fillRect/>
        </a:stretch>
      </xdr:blipFill>
      <xdr:spPr>
        <a:xfrm>
          <a:off x="3629946" y="8004848"/>
          <a:ext cx="1063146" cy="875532"/>
        </a:xfrm>
        <a:prstGeom prst="rect">
          <a:avLst/>
        </a:prstGeom>
      </xdr:spPr>
    </xdr:pic>
    <xdr:clientData/>
  </xdr:twoCellAnchor>
  <xdr:twoCellAnchor editAs="oneCell">
    <xdr:from>
      <xdr:col>3</xdr:col>
      <xdr:colOff>173472</xdr:colOff>
      <xdr:row>17</xdr:row>
      <xdr:rowOff>296816</xdr:rowOff>
    </xdr:from>
    <xdr:to>
      <xdr:col>3</xdr:col>
      <xdr:colOff>1142075</xdr:colOff>
      <xdr:row>17</xdr:row>
      <xdr:rowOff>837046</xdr:rowOff>
    </xdr:to>
    <xdr:pic>
      <xdr:nvPicPr>
        <xdr:cNvPr id="6" name="Imagen 5">
          <a:extLst>
            <a:ext uri="{FF2B5EF4-FFF2-40B4-BE49-F238E27FC236}">
              <a16:creationId xmlns:a16="http://schemas.microsoft.com/office/drawing/2014/main" id="{4A011339-9EB8-4498-919A-390ADE82ABCC}"/>
            </a:ext>
          </a:extLst>
        </xdr:cNvPr>
        <xdr:cNvPicPr>
          <a:picLocks noChangeAspect="1"/>
        </xdr:cNvPicPr>
      </xdr:nvPicPr>
      <xdr:blipFill>
        <a:blip xmlns:r="http://schemas.openxmlformats.org/officeDocument/2006/relationships" r:embed="rId4"/>
        <a:stretch>
          <a:fillRect/>
        </a:stretch>
      </xdr:blipFill>
      <xdr:spPr>
        <a:xfrm>
          <a:off x="3665972" y="9042498"/>
          <a:ext cx="968603" cy="540230"/>
        </a:xfrm>
        <a:prstGeom prst="rect">
          <a:avLst/>
        </a:prstGeom>
      </xdr:spPr>
    </xdr:pic>
    <xdr:clientData/>
  </xdr:twoCellAnchor>
  <xdr:twoCellAnchor editAs="oneCell">
    <xdr:from>
      <xdr:col>3</xdr:col>
      <xdr:colOff>270838</xdr:colOff>
      <xdr:row>18</xdr:row>
      <xdr:rowOff>88516</xdr:rowOff>
    </xdr:from>
    <xdr:to>
      <xdr:col>3</xdr:col>
      <xdr:colOff>1135304</xdr:colOff>
      <xdr:row>18</xdr:row>
      <xdr:rowOff>939975</xdr:rowOff>
    </xdr:to>
    <xdr:pic>
      <xdr:nvPicPr>
        <xdr:cNvPr id="7" name="Imagen 6">
          <a:extLst>
            <a:ext uri="{FF2B5EF4-FFF2-40B4-BE49-F238E27FC236}">
              <a16:creationId xmlns:a16="http://schemas.microsoft.com/office/drawing/2014/main" id="{E4CB2E9F-6C60-494B-8DDD-B682CE664C04}"/>
            </a:ext>
          </a:extLst>
        </xdr:cNvPr>
        <xdr:cNvPicPr>
          <a:picLocks noChangeAspect="1"/>
        </xdr:cNvPicPr>
      </xdr:nvPicPr>
      <xdr:blipFill>
        <a:blip xmlns:r="http://schemas.openxmlformats.org/officeDocument/2006/relationships" r:embed="rId5"/>
        <a:stretch>
          <a:fillRect/>
        </a:stretch>
      </xdr:blipFill>
      <xdr:spPr>
        <a:xfrm>
          <a:off x="3763338" y="9931016"/>
          <a:ext cx="864466" cy="851459"/>
        </a:xfrm>
        <a:prstGeom prst="rect">
          <a:avLst/>
        </a:prstGeom>
      </xdr:spPr>
    </xdr:pic>
    <xdr:clientData/>
  </xdr:twoCellAnchor>
  <xdr:twoCellAnchor editAs="oneCell">
    <xdr:from>
      <xdr:col>3</xdr:col>
      <xdr:colOff>119303</xdr:colOff>
      <xdr:row>83</xdr:row>
      <xdr:rowOff>779318</xdr:rowOff>
    </xdr:from>
    <xdr:to>
      <xdr:col>3</xdr:col>
      <xdr:colOff>1228849</xdr:colOff>
      <xdr:row>83</xdr:row>
      <xdr:rowOff>2204892</xdr:rowOff>
    </xdr:to>
    <xdr:pic>
      <xdr:nvPicPr>
        <xdr:cNvPr id="8" name="Imagen 7">
          <a:extLst>
            <a:ext uri="{FF2B5EF4-FFF2-40B4-BE49-F238E27FC236}">
              <a16:creationId xmlns:a16="http://schemas.microsoft.com/office/drawing/2014/main" id="{2E92421C-41BA-4845-804C-3CD61FF1E0D5}"/>
            </a:ext>
          </a:extLst>
        </xdr:cNvPr>
        <xdr:cNvPicPr>
          <a:picLocks noChangeAspect="1"/>
        </xdr:cNvPicPr>
      </xdr:nvPicPr>
      <xdr:blipFill>
        <a:blip xmlns:r="http://schemas.openxmlformats.org/officeDocument/2006/relationships" r:embed="rId6"/>
        <a:stretch>
          <a:fillRect/>
        </a:stretch>
      </xdr:blipFill>
      <xdr:spPr>
        <a:xfrm>
          <a:off x="3611803" y="15615227"/>
          <a:ext cx="1109546" cy="1425574"/>
        </a:xfrm>
        <a:prstGeom prst="rect">
          <a:avLst/>
        </a:prstGeom>
      </xdr:spPr>
    </xdr:pic>
    <xdr:clientData/>
  </xdr:twoCellAnchor>
  <xdr:twoCellAnchor editAs="oneCell">
    <xdr:from>
      <xdr:col>3</xdr:col>
      <xdr:colOff>173663</xdr:colOff>
      <xdr:row>84</xdr:row>
      <xdr:rowOff>558030</xdr:rowOff>
    </xdr:from>
    <xdr:to>
      <xdr:col>3</xdr:col>
      <xdr:colOff>1221135</xdr:colOff>
      <xdr:row>84</xdr:row>
      <xdr:rowOff>1825012</xdr:rowOff>
    </xdr:to>
    <xdr:pic>
      <xdr:nvPicPr>
        <xdr:cNvPr id="9" name="Imagen 8">
          <a:extLst>
            <a:ext uri="{FF2B5EF4-FFF2-40B4-BE49-F238E27FC236}">
              <a16:creationId xmlns:a16="http://schemas.microsoft.com/office/drawing/2014/main" id="{CD681762-E647-4A06-9F0B-B1351F232F26}"/>
            </a:ext>
          </a:extLst>
        </xdr:cNvPr>
        <xdr:cNvPicPr>
          <a:picLocks noChangeAspect="1"/>
        </xdr:cNvPicPr>
      </xdr:nvPicPr>
      <xdr:blipFill>
        <a:blip xmlns:r="http://schemas.openxmlformats.org/officeDocument/2006/relationships" r:embed="rId7"/>
        <a:stretch>
          <a:fillRect/>
        </a:stretch>
      </xdr:blipFill>
      <xdr:spPr>
        <a:xfrm>
          <a:off x="3666163" y="18338030"/>
          <a:ext cx="1047472" cy="1266982"/>
        </a:xfrm>
        <a:prstGeom prst="rect">
          <a:avLst/>
        </a:prstGeom>
      </xdr:spPr>
    </xdr:pic>
    <xdr:clientData/>
  </xdr:twoCellAnchor>
  <xdr:oneCellAnchor>
    <xdr:from>
      <xdr:col>3</xdr:col>
      <xdr:colOff>311150</xdr:colOff>
      <xdr:row>85</xdr:row>
      <xdr:rowOff>508001</xdr:rowOff>
    </xdr:from>
    <xdr:ext cx="707956" cy="983118"/>
    <xdr:pic>
      <xdr:nvPicPr>
        <xdr:cNvPr id="10" name="Imagen 9">
          <a:extLst>
            <a:ext uri="{FF2B5EF4-FFF2-40B4-BE49-F238E27FC236}">
              <a16:creationId xmlns:a16="http://schemas.microsoft.com/office/drawing/2014/main" id="{6368B2B5-758E-4247-85C6-04F24E73A00E}"/>
            </a:ext>
          </a:extLst>
        </xdr:cNvPr>
        <xdr:cNvPicPr>
          <a:picLocks noChangeAspect="1"/>
        </xdr:cNvPicPr>
      </xdr:nvPicPr>
      <xdr:blipFill>
        <a:blip xmlns:r="http://schemas.openxmlformats.org/officeDocument/2006/relationships" r:embed="rId1"/>
        <a:stretch>
          <a:fillRect/>
        </a:stretch>
      </xdr:blipFill>
      <xdr:spPr>
        <a:xfrm>
          <a:off x="3803650" y="2133986"/>
          <a:ext cx="707956" cy="983118"/>
        </a:xfrm>
        <a:prstGeom prst="rect">
          <a:avLst/>
        </a:prstGeom>
      </xdr:spPr>
    </xdr:pic>
    <xdr:clientData/>
  </xdr:oneCellAnchor>
  <xdr:oneCellAnchor>
    <xdr:from>
      <xdr:col>3</xdr:col>
      <xdr:colOff>173663</xdr:colOff>
      <xdr:row>29</xdr:row>
      <xdr:rowOff>558030</xdr:rowOff>
    </xdr:from>
    <xdr:ext cx="1047472" cy="1266982"/>
    <xdr:pic>
      <xdr:nvPicPr>
        <xdr:cNvPr id="11" name="Imagen 10">
          <a:extLst>
            <a:ext uri="{FF2B5EF4-FFF2-40B4-BE49-F238E27FC236}">
              <a16:creationId xmlns:a16="http://schemas.microsoft.com/office/drawing/2014/main" id="{1C614B5F-7516-4BD0-8ABC-D632C8691203}"/>
            </a:ext>
          </a:extLst>
        </xdr:cNvPr>
        <xdr:cNvPicPr>
          <a:picLocks noChangeAspect="1"/>
        </xdr:cNvPicPr>
      </xdr:nvPicPr>
      <xdr:blipFill>
        <a:blip xmlns:r="http://schemas.openxmlformats.org/officeDocument/2006/relationships" r:embed="rId7"/>
        <a:stretch>
          <a:fillRect/>
        </a:stretch>
      </xdr:blipFill>
      <xdr:spPr>
        <a:xfrm>
          <a:off x="3666163" y="18867197"/>
          <a:ext cx="1047472" cy="1266982"/>
        </a:xfrm>
        <a:prstGeom prst="rect">
          <a:avLst/>
        </a:prstGeom>
      </xdr:spPr>
    </xdr:pic>
    <xdr:clientData/>
  </xdr:oneCellAnchor>
  <xdr:twoCellAnchor editAs="oneCell">
    <xdr:from>
      <xdr:col>3</xdr:col>
      <xdr:colOff>129887</xdr:colOff>
      <xdr:row>30</xdr:row>
      <xdr:rowOff>139027</xdr:rowOff>
    </xdr:from>
    <xdr:to>
      <xdr:col>3</xdr:col>
      <xdr:colOff>1087198</xdr:colOff>
      <xdr:row>30</xdr:row>
      <xdr:rowOff>855818</xdr:rowOff>
    </xdr:to>
    <xdr:pic>
      <xdr:nvPicPr>
        <xdr:cNvPr id="12" name="Imagen 11">
          <a:extLst>
            <a:ext uri="{FF2B5EF4-FFF2-40B4-BE49-F238E27FC236}">
              <a16:creationId xmlns:a16="http://schemas.microsoft.com/office/drawing/2014/main" id="{C890A53B-8E04-4D14-A37F-1815B174C69C}"/>
            </a:ext>
          </a:extLst>
        </xdr:cNvPr>
        <xdr:cNvPicPr>
          <a:picLocks noChangeAspect="1"/>
        </xdr:cNvPicPr>
      </xdr:nvPicPr>
      <xdr:blipFill rotWithShape="1">
        <a:blip xmlns:r="http://schemas.openxmlformats.org/officeDocument/2006/relationships" r:embed="rId8"/>
        <a:srcRect t="24666"/>
        <a:stretch/>
      </xdr:blipFill>
      <xdr:spPr bwMode="auto">
        <a:xfrm>
          <a:off x="3622387" y="15340542"/>
          <a:ext cx="957311" cy="71679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29346</xdr:colOff>
      <xdr:row>41</xdr:row>
      <xdr:rowOff>577273</xdr:rowOff>
    </xdr:from>
    <xdr:to>
      <xdr:col>3</xdr:col>
      <xdr:colOff>1236175</xdr:colOff>
      <xdr:row>41</xdr:row>
      <xdr:rowOff>1697278</xdr:rowOff>
    </xdr:to>
    <xdr:pic>
      <xdr:nvPicPr>
        <xdr:cNvPr id="13" name="Imagen 12">
          <a:extLst>
            <a:ext uri="{FF2B5EF4-FFF2-40B4-BE49-F238E27FC236}">
              <a16:creationId xmlns:a16="http://schemas.microsoft.com/office/drawing/2014/main" id="{FD926697-9C80-4966-ADFB-A39D783FECC0}"/>
            </a:ext>
          </a:extLst>
        </xdr:cNvPr>
        <xdr:cNvPicPr>
          <a:picLocks noChangeAspect="1"/>
        </xdr:cNvPicPr>
      </xdr:nvPicPr>
      <xdr:blipFill>
        <a:blip xmlns:r="http://schemas.openxmlformats.org/officeDocument/2006/relationships" r:embed="rId9"/>
        <a:stretch>
          <a:fillRect/>
        </a:stretch>
      </xdr:blipFill>
      <xdr:spPr>
        <a:xfrm>
          <a:off x="3521846" y="18174470"/>
          <a:ext cx="1206829" cy="1120005"/>
        </a:xfrm>
        <a:prstGeom prst="rect">
          <a:avLst/>
        </a:prstGeom>
      </xdr:spPr>
    </xdr:pic>
    <xdr:clientData/>
  </xdr:twoCellAnchor>
  <xdr:oneCellAnchor>
    <xdr:from>
      <xdr:col>3</xdr:col>
      <xdr:colOff>311150</xdr:colOff>
      <xdr:row>62</xdr:row>
      <xdr:rowOff>508001</xdr:rowOff>
    </xdr:from>
    <xdr:ext cx="707956" cy="983118"/>
    <xdr:pic>
      <xdr:nvPicPr>
        <xdr:cNvPr id="15" name="Imagen 14">
          <a:extLst>
            <a:ext uri="{FF2B5EF4-FFF2-40B4-BE49-F238E27FC236}">
              <a16:creationId xmlns:a16="http://schemas.microsoft.com/office/drawing/2014/main" id="{13CA408E-6053-41BB-941F-D9548D941D49}"/>
            </a:ext>
          </a:extLst>
        </xdr:cNvPr>
        <xdr:cNvPicPr>
          <a:picLocks noChangeAspect="1"/>
        </xdr:cNvPicPr>
      </xdr:nvPicPr>
      <xdr:blipFill>
        <a:blip xmlns:r="http://schemas.openxmlformats.org/officeDocument/2006/relationships" r:embed="rId1"/>
        <a:stretch>
          <a:fillRect/>
        </a:stretch>
      </xdr:blipFill>
      <xdr:spPr>
        <a:xfrm>
          <a:off x="3803650" y="34191865"/>
          <a:ext cx="707956" cy="983118"/>
        </a:xfrm>
        <a:prstGeom prst="rect">
          <a:avLst/>
        </a:prstGeom>
      </xdr:spPr>
    </xdr:pic>
    <xdr:clientData/>
  </xdr:oneCellAnchor>
  <xdr:oneCellAnchor>
    <xdr:from>
      <xdr:col>3</xdr:col>
      <xdr:colOff>173663</xdr:colOff>
      <xdr:row>63</xdr:row>
      <xdr:rowOff>558030</xdr:rowOff>
    </xdr:from>
    <xdr:ext cx="1047472" cy="1266982"/>
    <xdr:pic>
      <xdr:nvPicPr>
        <xdr:cNvPr id="16" name="Imagen 15">
          <a:extLst>
            <a:ext uri="{FF2B5EF4-FFF2-40B4-BE49-F238E27FC236}">
              <a16:creationId xmlns:a16="http://schemas.microsoft.com/office/drawing/2014/main" id="{CEEF3121-6B29-495D-AE39-656C384086CA}"/>
            </a:ext>
          </a:extLst>
        </xdr:cNvPr>
        <xdr:cNvPicPr>
          <a:picLocks noChangeAspect="1"/>
        </xdr:cNvPicPr>
      </xdr:nvPicPr>
      <xdr:blipFill>
        <a:blip xmlns:r="http://schemas.openxmlformats.org/officeDocument/2006/relationships" r:embed="rId7"/>
        <a:stretch>
          <a:fillRect/>
        </a:stretch>
      </xdr:blipFill>
      <xdr:spPr>
        <a:xfrm>
          <a:off x="3666163" y="34713333"/>
          <a:ext cx="1047472" cy="1266982"/>
        </a:xfrm>
        <a:prstGeom prst="rect">
          <a:avLst/>
        </a:prstGeom>
      </xdr:spPr>
    </xdr:pic>
    <xdr:clientData/>
  </xdr:oneCellAnchor>
  <xdr:twoCellAnchor editAs="oneCell">
    <xdr:from>
      <xdr:col>3</xdr:col>
      <xdr:colOff>103951</xdr:colOff>
      <xdr:row>65</xdr:row>
      <xdr:rowOff>1029470</xdr:rowOff>
    </xdr:from>
    <xdr:to>
      <xdr:col>3</xdr:col>
      <xdr:colOff>1228525</xdr:colOff>
      <xdr:row>65</xdr:row>
      <xdr:rowOff>2022090</xdr:rowOff>
    </xdr:to>
    <xdr:pic>
      <xdr:nvPicPr>
        <xdr:cNvPr id="18" name="Imagen 17">
          <a:extLst>
            <a:ext uri="{FF2B5EF4-FFF2-40B4-BE49-F238E27FC236}">
              <a16:creationId xmlns:a16="http://schemas.microsoft.com/office/drawing/2014/main" id="{DD2AB21E-4A5E-472F-A6FA-D882529D9AED}"/>
            </a:ext>
          </a:extLst>
        </xdr:cNvPr>
        <xdr:cNvPicPr>
          <a:picLocks noChangeAspect="1"/>
        </xdr:cNvPicPr>
      </xdr:nvPicPr>
      <xdr:blipFill>
        <a:blip xmlns:r="http://schemas.openxmlformats.org/officeDocument/2006/relationships" r:embed="rId10"/>
        <a:stretch>
          <a:fillRect/>
        </a:stretch>
      </xdr:blipFill>
      <xdr:spPr>
        <a:xfrm>
          <a:off x="3596451" y="34867273"/>
          <a:ext cx="1124574" cy="992620"/>
        </a:xfrm>
        <a:prstGeom prst="rect">
          <a:avLst/>
        </a:prstGeom>
      </xdr:spPr>
    </xdr:pic>
    <xdr:clientData/>
  </xdr:twoCellAnchor>
  <xdr:twoCellAnchor editAs="oneCell">
    <xdr:from>
      <xdr:col>3</xdr:col>
      <xdr:colOff>137103</xdr:colOff>
      <xdr:row>66</xdr:row>
      <xdr:rowOff>1676977</xdr:rowOff>
    </xdr:from>
    <xdr:to>
      <xdr:col>3</xdr:col>
      <xdr:colOff>1267551</xdr:colOff>
      <xdr:row>66</xdr:row>
      <xdr:rowOff>2357197</xdr:rowOff>
    </xdr:to>
    <xdr:pic>
      <xdr:nvPicPr>
        <xdr:cNvPr id="19" name="Imagen 18">
          <a:extLst>
            <a:ext uri="{FF2B5EF4-FFF2-40B4-BE49-F238E27FC236}">
              <a16:creationId xmlns:a16="http://schemas.microsoft.com/office/drawing/2014/main" id="{0E6061B7-8EB9-45DB-AFF2-BE04D79D331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629603" y="38112507"/>
          <a:ext cx="1130448" cy="680220"/>
        </a:xfrm>
        <a:prstGeom prst="rect">
          <a:avLst/>
        </a:prstGeom>
      </xdr:spPr>
    </xdr:pic>
    <xdr:clientData/>
  </xdr:twoCellAnchor>
  <xdr:twoCellAnchor editAs="oneCell">
    <xdr:from>
      <xdr:col>3</xdr:col>
      <xdr:colOff>271799</xdr:colOff>
      <xdr:row>68</xdr:row>
      <xdr:rowOff>225136</xdr:rowOff>
    </xdr:from>
    <xdr:to>
      <xdr:col>3</xdr:col>
      <xdr:colOff>1096818</xdr:colOff>
      <xdr:row>68</xdr:row>
      <xdr:rowOff>933864</xdr:rowOff>
    </xdr:to>
    <xdr:pic>
      <xdr:nvPicPr>
        <xdr:cNvPr id="20" name="Imagen 19">
          <a:extLst>
            <a:ext uri="{FF2B5EF4-FFF2-40B4-BE49-F238E27FC236}">
              <a16:creationId xmlns:a16="http://schemas.microsoft.com/office/drawing/2014/main" id="{9AFA24A5-2375-4743-A40E-83D31F9EE8DF}"/>
            </a:ext>
          </a:extLst>
        </xdr:cNvPr>
        <xdr:cNvPicPr>
          <a:picLocks noChangeAspect="1"/>
        </xdr:cNvPicPr>
      </xdr:nvPicPr>
      <xdr:blipFill rotWithShape="1">
        <a:blip xmlns:r="http://schemas.openxmlformats.org/officeDocument/2006/relationships" r:embed="rId12"/>
        <a:srcRect t="17178" b="15281"/>
        <a:stretch/>
      </xdr:blipFill>
      <xdr:spPr bwMode="auto">
        <a:xfrm>
          <a:off x="3764299" y="43251197"/>
          <a:ext cx="825019" cy="7087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3</xdr:col>
      <xdr:colOff>105834</xdr:colOff>
      <xdr:row>69</xdr:row>
      <xdr:rowOff>1290811</xdr:rowOff>
    </xdr:from>
    <xdr:to>
      <xdr:col>3</xdr:col>
      <xdr:colOff>1217578</xdr:colOff>
      <xdr:row>69</xdr:row>
      <xdr:rowOff>2260987</xdr:rowOff>
    </xdr:to>
    <xdr:pic>
      <xdr:nvPicPr>
        <xdr:cNvPr id="21" name="Imagen 20">
          <a:extLst>
            <a:ext uri="{FF2B5EF4-FFF2-40B4-BE49-F238E27FC236}">
              <a16:creationId xmlns:a16="http://schemas.microsoft.com/office/drawing/2014/main" id="{E2F67E8D-0C15-4824-B20E-DBB09471BBD5}"/>
            </a:ext>
          </a:extLst>
        </xdr:cNvPr>
        <xdr:cNvPicPr>
          <a:picLocks noChangeAspect="1"/>
        </xdr:cNvPicPr>
      </xdr:nvPicPr>
      <xdr:blipFill>
        <a:blip xmlns:r="http://schemas.openxmlformats.org/officeDocument/2006/relationships" r:embed="rId13"/>
        <a:stretch>
          <a:fillRect/>
        </a:stretch>
      </xdr:blipFill>
      <xdr:spPr>
        <a:xfrm>
          <a:off x="3598334" y="45529144"/>
          <a:ext cx="1111744" cy="970176"/>
        </a:xfrm>
        <a:prstGeom prst="rect">
          <a:avLst/>
        </a:prstGeom>
      </xdr:spPr>
    </xdr:pic>
    <xdr:clientData/>
  </xdr:twoCellAnchor>
  <xdr:twoCellAnchor editAs="oneCell">
    <xdr:from>
      <xdr:col>3</xdr:col>
      <xdr:colOff>65424</xdr:colOff>
      <xdr:row>70</xdr:row>
      <xdr:rowOff>1202863</xdr:rowOff>
    </xdr:from>
    <xdr:to>
      <xdr:col>3</xdr:col>
      <xdr:colOff>1234446</xdr:colOff>
      <xdr:row>70</xdr:row>
      <xdr:rowOff>2087803</xdr:rowOff>
    </xdr:to>
    <xdr:pic>
      <xdr:nvPicPr>
        <xdr:cNvPr id="22" name="Imagen 21">
          <a:extLst>
            <a:ext uri="{FF2B5EF4-FFF2-40B4-BE49-F238E27FC236}">
              <a16:creationId xmlns:a16="http://schemas.microsoft.com/office/drawing/2014/main" id="{B90FA73A-902C-4149-A48B-839997EE7107}"/>
            </a:ext>
          </a:extLst>
        </xdr:cNvPr>
        <xdr:cNvPicPr>
          <a:picLocks noChangeAspect="1"/>
        </xdr:cNvPicPr>
      </xdr:nvPicPr>
      <xdr:blipFill>
        <a:blip xmlns:r="http://schemas.openxmlformats.org/officeDocument/2006/relationships" r:embed="rId14"/>
        <a:stretch>
          <a:fillRect/>
        </a:stretch>
      </xdr:blipFill>
      <xdr:spPr>
        <a:xfrm>
          <a:off x="3557924" y="50059378"/>
          <a:ext cx="1169022" cy="884940"/>
        </a:xfrm>
        <a:prstGeom prst="rect">
          <a:avLst/>
        </a:prstGeom>
      </xdr:spPr>
    </xdr:pic>
    <xdr:clientData/>
  </xdr:twoCellAnchor>
  <xdr:twoCellAnchor editAs="oneCell">
    <xdr:from>
      <xdr:col>3</xdr:col>
      <xdr:colOff>493936</xdr:colOff>
      <xdr:row>71</xdr:row>
      <xdr:rowOff>48106</xdr:rowOff>
    </xdr:from>
    <xdr:to>
      <xdr:col>3</xdr:col>
      <xdr:colOff>1142839</xdr:colOff>
      <xdr:row>71</xdr:row>
      <xdr:rowOff>798562</xdr:rowOff>
    </xdr:to>
    <xdr:pic>
      <xdr:nvPicPr>
        <xdr:cNvPr id="23" name="Imagen 22">
          <a:extLst>
            <a:ext uri="{FF2B5EF4-FFF2-40B4-BE49-F238E27FC236}">
              <a16:creationId xmlns:a16="http://schemas.microsoft.com/office/drawing/2014/main" id="{B3BDDD69-EEA0-4160-8EB8-6053210E963D}"/>
            </a:ext>
          </a:extLst>
        </xdr:cNvPr>
        <xdr:cNvPicPr>
          <a:picLocks noChangeAspect="1"/>
        </xdr:cNvPicPr>
      </xdr:nvPicPr>
      <xdr:blipFill>
        <a:blip xmlns:r="http://schemas.openxmlformats.org/officeDocument/2006/relationships" r:embed="rId15"/>
        <a:stretch>
          <a:fillRect/>
        </a:stretch>
      </xdr:blipFill>
      <xdr:spPr>
        <a:xfrm>
          <a:off x="3986436" y="52387500"/>
          <a:ext cx="648903" cy="750456"/>
        </a:xfrm>
        <a:prstGeom prst="rect">
          <a:avLst/>
        </a:prstGeom>
      </xdr:spPr>
    </xdr:pic>
    <xdr:clientData/>
  </xdr:twoCellAnchor>
  <xdr:twoCellAnchor editAs="oneCell">
    <xdr:from>
      <xdr:col>3</xdr:col>
      <xdr:colOff>173181</xdr:colOff>
      <xdr:row>71</xdr:row>
      <xdr:rowOff>850276</xdr:rowOff>
    </xdr:from>
    <xdr:to>
      <xdr:col>3</xdr:col>
      <xdr:colOff>823910</xdr:colOff>
      <xdr:row>71</xdr:row>
      <xdr:rowOff>1517496</xdr:rowOff>
    </xdr:to>
    <xdr:pic>
      <xdr:nvPicPr>
        <xdr:cNvPr id="24" name="Imagen 23">
          <a:extLst>
            <a:ext uri="{FF2B5EF4-FFF2-40B4-BE49-F238E27FC236}">
              <a16:creationId xmlns:a16="http://schemas.microsoft.com/office/drawing/2014/main" id="{925FE603-1799-4EAB-A1AE-F37A45070CBC}"/>
            </a:ext>
          </a:extLst>
        </xdr:cNvPr>
        <xdr:cNvPicPr>
          <a:picLocks noChangeAspect="1"/>
        </xdr:cNvPicPr>
      </xdr:nvPicPr>
      <xdr:blipFill>
        <a:blip xmlns:r="http://schemas.openxmlformats.org/officeDocument/2006/relationships" r:embed="rId16"/>
        <a:stretch>
          <a:fillRect/>
        </a:stretch>
      </xdr:blipFill>
      <xdr:spPr>
        <a:xfrm>
          <a:off x="3665681" y="53189670"/>
          <a:ext cx="650729" cy="667220"/>
        </a:xfrm>
        <a:prstGeom prst="rect">
          <a:avLst/>
        </a:prstGeom>
      </xdr:spPr>
    </xdr:pic>
    <xdr:clientData/>
  </xdr:twoCellAnchor>
  <xdr:twoCellAnchor editAs="oneCell">
    <xdr:from>
      <xdr:col>3</xdr:col>
      <xdr:colOff>399324</xdr:colOff>
      <xdr:row>72</xdr:row>
      <xdr:rowOff>199740</xdr:rowOff>
    </xdr:from>
    <xdr:to>
      <xdr:col>3</xdr:col>
      <xdr:colOff>1072026</xdr:colOff>
      <xdr:row>72</xdr:row>
      <xdr:rowOff>750455</xdr:rowOff>
    </xdr:to>
    <xdr:pic>
      <xdr:nvPicPr>
        <xdr:cNvPr id="25" name="Imagen 24">
          <a:extLst>
            <a:ext uri="{FF2B5EF4-FFF2-40B4-BE49-F238E27FC236}">
              <a16:creationId xmlns:a16="http://schemas.microsoft.com/office/drawing/2014/main" id="{D3B55CAF-C311-431A-B5F2-E9D81DCD1E7B}"/>
            </a:ext>
          </a:extLst>
        </xdr:cNvPr>
        <xdr:cNvPicPr>
          <a:picLocks noChangeAspect="1"/>
        </xdr:cNvPicPr>
      </xdr:nvPicPr>
      <xdr:blipFill>
        <a:blip xmlns:r="http://schemas.openxmlformats.org/officeDocument/2006/relationships" r:embed="rId17"/>
        <a:stretch>
          <a:fillRect/>
        </a:stretch>
      </xdr:blipFill>
      <xdr:spPr>
        <a:xfrm>
          <a:off x="3891824" y="54492240"/>
          <a:ext cx="672702" cy="550715"/>
        </a:xfrm>
        <a:prstGeom prst="rect">
          <a:avLst/>
        </a:prstGeom>
      </xdr:spPr>
    </xdr:pic>
    <xdr:clientData/>
  </xdr:twoCellAnchor>
  <xdr:twoCellAnchor editAs="oneCell">
    <xdr:from>
      <xdr:col>3</xdr:col>
      <xdr:colOff>262658</xdr:colOff>
      <xdr:row>73</xdr:row>
      <xdr:rowOff>270356</xdr:rowOff>
    </xdr:from>
    <xdr:to>
      <xdr:col>3</xdr:col>
      <xdr:colOff>1154545</xdr:colOff>
      <xdr:row>73</xdr:row>
      <xdr:rowOff>919474</xdr:rowOff>
    </xdr:to>
    <xdr:pic>
      <xdr:nvPicPr>
        <xdr:cNvPr id="26" name="Imagen 25">
          <a:extLst>
            <a:ext uri="{FF2B5EF4-FFF2-40B4-BE49-F238E27FC236}">
              <a16:creationId xmlns:a16="http://schemas.microsoft.com/office/drawing/2014/main" id="{BC575DC5-9220-4E5F-833A-3B0A29F3E09A}"/>
            </a:ext>
          </a:extLst>
        </xdr:cNvPr>
        <xdr:cNvPicPr>
          <a:picLocks noChangeAspect="1"/>
        </xdr:cNvPicPr>
      </xdr:nvPicPr>
      <xdr:blipFill>
        <a:blip xmlns:r="http://schemas.openxmlformats.org/officeDocument/2006/relationships" r:embed="rId18"/>
        <a:stretch>
          <a:fillRect/>
        </a:stretch>
      </xdr:blipFill>
      <xdr:spPr>
        <a:xfrm>
          <a:off x="3755158" y="55120886"/>
          <a:ext cx="891887" cy="649118"/>
        </a:xfrm>
        <a:prstGeom prst="rect">
          <a:avLst/>
        </a:prstGeom>
      </xdr:spPr>
    </xdr:pic>
    <xdr:clientData/>
  </xdr:twoCellAnchor>
  <xdr:oneCellAnchor>
    <xdr:from>
      <xdr:col>3</xdr:col>
      <xdr:colOff>129887</xdr:colOff>
      <xdr:row>96</xdr:row>
      <xdr:rowOff>139027</xdr:rowOff>
    </xdr:from>
    <xdr:ext cx="957311" cy="716791"/>
    <xdr:pic>
      <xdr:nvPicPr>
        <xdr:cNvPr id="27" name="Imagen 26">
          <a:extLst>
            <a:ext uri="{FF2B5EF4-FFF2-40B4-BE49-F238E27FC236}">
              <a16:creationId xmlns:a16="http://schemas.microsoft.com/office/drawing/2014/main" id="{88EC5C6F-C18A-4E38-B1D9-8E081D77B2CB}"/>
            </a:ext>
          </a:extLst>
        </xdr:cNvPr>
        <xdr:cNvPicPr>
          <a:picLocks noChangeAspect="1"/>
        </xdr:cNvPicPr>
      </xdr:nvPicPr>
      <xdr:blipFill rotWithShape="1">
        <a:blip xmlns:r="http://schemas.openxmlformats.org/officeDocument/2006/relationships" r:embed="rId8"/>
        <a:srcRect t="24666"/>
        <a:stretch/>
      </xdr:blipFill>
      <xdr:spPr bwMode="auto">
        <a:xfrm>
          <a:off x="3622387" y="16437360"/>
          <a:ext cx="957311" cy="716791"/>
        </a:xfrm>
        <a:prstGeom prst="rect">
          <a:avLst/>
        </a:prstGeom>
        <a:ln>
          <a:noFill/>
        </a:ln>
        <a:extLst>
          <a:ext uri="{53640926-AAD7-44D8-BBD7-CCE9431645EC}">
            <a14:shadowObscured xmlns:a14="http://schemas.microsoft.com/office/drawing/2010/main"/>
          </a:ext>
        </a:extLst>
      </xdr:spPr>
    </xdr:pic>
    <xdr:clientData/>
  </xdr:oneCellAnchor>
  <xdr:oneCellAnchor>
    <xdr:from>
      <xdr:col>3</xdr:col>
      <xdr:colOff>301529</xdr:colOff>
      <xdr:row>97</xdr:row>
      <xdr:rowOff>767774</xdr:rowOff>
    </xdr:from>
    <xdr:ext cx="707956" cy="983118"/>
    <xdr:pic>
      <xdr:nvPicPr>
        <xdr:cNvPr id="28" name="Imagen 27">
          <a:extLst>
            <a:ext uri="{FF2B5EF4-FFF2-40B4-BE49-F238E27FC236}">
              <a16:creationId xmlns:a16="http://schemas.microsoft.com/office/drawing/2014/main" id="{593829C0-714C-4F5C-8FAB-EAF1A9BF9E10}"/>
            </a:ext>
          </a:extLst>
        </xdr:cNvPr>
        <xdr:cNvPicPr>
          <a:picLocks noChangeAspect="1"/>
        </xdr:cNvPicPr>
      </xdr:nvPicPr>
      <xdr:blipFill>
        <a:blip xmlns:r="http://schemas.openxmlformats.org/officeDocument/2006/relationships" r:embed="rId1"/>
        <a:stretch>
          <a:fillRect/>
        </a:stretch>
      </xdr:blipFill>
      <xdr:spPr>
        <a:xfrm>
          <a:off x="3794029" y="74139138"/>
          <a:ext cx="707956" cy="983118"/>
        </a:xfrm>
        <a:prstGeom prst="rect">
          <a:avLst/>
        </a:prstGeom>
      </xdr:spPr>
    </xdr:pic>
    <xdr:clientData/>
  </xdr:oneCellAnchor>
  <xdr:oneCellAnchor>
    <xdr:from>
      <xdr:col>3</xdr:col>
      <xdr:colOff>119303</xdr:colOff>
      <xdr:row>98</xdr:row>
      <xdr:rowOff>779318</xdr:rowOff>
    </xdr:from>
    <xdr:ext cx="1109546" cy="1425574"/>
    <xdr:pic>
      <xdr:nvPicPr>
        <xdr:cNvPr id="29" name="Imagen 28">
          <a:extLst>
            <a:ext uri="{FF2B5EF4-FFF2-40B4-BE49-F238E27FC236}">
              <a16:creationId xmlns:a16="http://schemas.microsoft.com/office/drawing/2014/main" id="{B214BB93-E063-4315-8DD5-D17676E0C774}"/>
            </a:ext>
          </a:extLst>
        </xdr:cNvPr>
        <xdr:cNvPicPr>
          <a:picLocks noChangeAspect="1"/>
        </xdr:cNvPicPr>
      </xdr:nvPicPr>
      <xdr:blipFill>
        <a:blip xmlns:r="http://schemas.openxmlformats.org/officeDocument/2006/relationships" r:embed="rId6"/>
        <a:stretch>
          <a:fillRect/>
        </a:stretch>
      </xdr:blipFill>
      <xdr:spPr>
        <a:xfrm>
          <a:off x="3611803" y="62653333"/>
          <a:ext cx="1109546" cy="1425574"/>
        </a:xfrm>
        <a:prstGeom prst="rect">
          <a:avLst/>
        </a:prstGeom>
      </xdr:spPr>
    </xdr:pic>
    <xdr:clientData/>
  </xdr:oneCellAnchor>
  <xdr:oneCellAnchor>
    <xdr:from>
      <xdr:col>3</xdr:col>
      <xdr:colOff>173663</xdr:colOff>
      <xdr:row>99</xdr:row>
      <xdr:rowOff>558030</xdr:rowOff>
    </xdr:from>
    <xdr:ext cx="1047472" cy="1266982"/>
    <xdr:pic>
      <xdr:nvPicPr>
        <xdr:cNvPr id="30" name="Imagen 29">
          <a:extLst>
            <a:ext uri="{FF2B5EF4-FFF2-40B4-BE49-F238E27FC236}">
              <a16:creationId xmlns:a16="http://schemas.microsoft.com/office/drawing/2014/main" id="{B2AB6A19-6688-4281-B3E3-9B53308E873A}"/>
            </a:ext>
          </a:extLst>
        </xdr:cNvPr>
        <xdr:cNvPicPr>
          <a:picLocks noChangeAspect="1"/>
        </xdr:cNvPicPr>
      </xdr:nvPicPr>
      <xdr:blipFill>
        <a:blip xmlns:r="http://schemas.openxmlformats.org/officeDocument/2006/relationships" r:embed="rId7"/>
        <a:stretch>
          <a:fillRect/>
        </a:stretch>
      </xdr:blipFill>
      <xdr:spPr>
        <a:xfrm>
          <a:off x="3666163" y="65376136"/>
          <a:ext cx="1047472" cy="1266982"/>
        </a:xfrm>
        <a:prstGeom prst="rect">
          <a:avLst/>
        </a:prstGeom>
      </xdr:spPr>
    </xdr:pic>
    <xdr:clientData/>
  </xdr:oneCellAnchor>
  <xdr:oneCellAnchor>
    <xdr:from>
      <xdr:col>3</xdr:col>
      <xdr:colOff>173472</xdr:colOff>
      <xdr:row>100</xdr:row>
      <xdr:rowOff>296816</xdr:rowOff>
    </xdr:from>
    <xdr:ext cx="968603" cy="540230"/>
    <xdr:pic>
      <xdr:nvPicPr>
        <xdr:cNvPr id="31" name="Imagen 30">
          <a:extLst>
            <a:ext uri="{FF2B5EF4-FFF2-40B4-BE49-F238E27FC236}">
              <a16:creationId xmlns:a16="http://schemas.microsoft.com/office/drawing/2014/main" id="{2935A295-906E-4436-8FB7-8F566BD822C7}"/>
            </a:ext>
          </a:extLst>
        </xdr:cNvPr>
        <xdr:cNvPicPr>
          <a:picLocks noChangeAspect="1"/>
        </xdr:cNvPicPr>
      </xdr:nvPicPr>
      <xdr:blipFill>
        <a:blip xmlns:r="http://schemas.openxmlformats.org/officeDocument/2006/relationships" r:embed="rId4"/>
        <a:stretch>
          <a:fillRect/>
        </a:stretch>
      </xdr:blipFill>
      <xdr:spPr>
        <a:xfrm>
          <a:off x="3665972" y="9648634"/>
          <a:ext cx="968603" cy="540230"/>
        </a:xfrm>
        <a:prstGeom prst="rect">
          <a:avLst/>
        </a:prstGeom>
      </xdr:spPr>
    </xdr:pic>
    <xdr:clientData/>
  </xdr:oneCellAnchor>
  <xdr:oneCellAnchor>
    <xdr:from>
      <xdr:col>3</xdr:col>
      <xdr:colOff>103951</xdr:colOff>
      <xdr:row>101</xdr:row>
      <xdr:rowOff>1029470</xdr:rowOff>
    </xdr:from>
    <xdr:ext cx="1124574" cy="992620"/>
    <xdr:pic>
      <xdr:nvPicPr>
        <xdr:cNvPr id="32" name="Imagen 31">
          <a:extLst>
            <a:ext uri="{FF2B5EF4-FFF2-40B4-BE49-F238E27FC236}">
              <a16:creationId xmlns:a16="http://schemas.microsoft.com/office/drawing/2014/main" id="{DC0B7640-ADC9-43D0-BBC1-99D436F21651}"/>
            </a:ext>
          </a:extLst>
        </xdr:cNvPr>
        <xdr:cNvPicPr>
          <a:picLocks noChangeAspect="1"/>
        </xdr:cNvPicPr>
      </xdr:nvPicPr>
      <xdr:blipFill>
        <a:blip xmlns:r="http://schemas.openxmlformats.org/officeDocument/2006/relationships" r:embed="rId10"/>
        <a:stretch>
          <a:fillRect/>
        </a:stretch>
      </xdr:blipFill>
      <xdr:spPr>
        <a:xfrm>
          <a:off x="3596451" y="38590682"/>
          <a:ext cx="1124574" cy="992620"/>
        </a:xfrm>
        <a:prstGeom prst="rect">
          <a:avLst/>
        </a:prstGeom>
      </xdr:spPr>
    </xdr:pic>
    <xdr:clientData/>
  </xdr:oneCellAnchor>
  <xdr:oneCellAnchor>
    <xdr:from>
      <xdr:col>3</xdr:col>
      <xdr:colOff>105834</xdr:colOff>
      <xdr:row>102</xdr:row>
      <xdr:rowOff>1290811</xdr:rowOff>
    </xdr:from>
    <xdr:ext cx="1111744" cy="970176"/>
    <xdr:pic>
      <xdr:nvPicPr>
        <xdr:cNvPr id="33" name="Imagen 32">
          <a:extLst>
            <a:ext uri="{FF2B5EF4-FFF2-40B4-BE49-F238E27FC236}">
              <a16:creationId xmlns:a16="http://schemas.microsoft.com/office/drawing/2014/main" id="{0FB5D7FB-255A-4A48-B926-B1A39FBBC8CA}"/>
            </a:ext>
          </a:extLst>
        </xdr:cNvPr>
        <xdr:cNvPicPr>
          <a:picLocks noChangeAspect="1"/>
        </xdr:cNvPicPr>
      </xdr:nvPicPr>
      <xdr:blipFill>
        <a:blip xmlns:r="http://schemas.openxmlformats.org/officeDocument/2006/relationships" r:embed="rId13"/>
        <a:stretch>
          <a:fillRect/>
        </a:stretch>
      </xdr:blipFill>
      <xdr:spPr>
        <a:xfrm>
          <a:off x="3598334" y="49252553"/>
          <a:ext cx="1111744" cy="970176"/>
        </a:xfrm>
        <a:prstGeom prst="rect">
          <a:avLst/>
        </a:prstGeom>
      </xdr:spPr>
    </xdr:pic>
    <xdr:clientData/>
  </xdr:oneCellAnchor>
  <xdr:oneCellAnchor>
    <xdr:from>
      <xdr:col>3</xdr:col>
      <xdr:colOff>493936</xdr:colOff>
      <xdr:row>103</xdr:row>
      <xdr:rowOff>48106</xdr:rowOff>
    </xdr:from>
    <xdr:ext cx="648903" cy="750456"/>
    <xdr:pic>
      <xdr:nvPicPr>
        <xdr:cNvPr id="34" name="Imagen 33">
          <a:extLst>
            <a:ext uri="{FF2B5EF4-FFF2-40B4-BE49-F238E27FC236}">
              <a16:creationId xmlns:a16="http://schemas.microsoft.com/office/drawing/2014/main" id="{B6BCC1AB-4B5B-41FE-80F8-A2D0DED58D32}"/>
            </a:ext>
          </a:extLst>
        </xdr:cNvPr>
        <xdr:cNvPicPr>
          <a:picLocks noChangeAspect="1"/>
        </xdr:cNvPicPr>
      </xdr:nvPicPr>
      <xdr:blipFill>
        <a:blip xmlns:r="http://schemas.openxmlformats.org/officeDocument/2006/relationships" r:embed="rId15"/>
        <a:stretch>
          <a:fillRect/>
        </a:stretch>
      </xdr:blipFill>
      <xdr:spPr>
        <a:xfrm>
          <a:off x="3986436" y="56110909"/>
          <a:ext cx="648903" cy="750456"/>
        </a:xfrm>
        <a:prstGeom prst="rect">
          <a:avLst/>
        </a:prstGeom>
      </xdr:spPr>
    </xdr:pic>
    <xdr:clientData/>
  </xdr:oneCellAnchor>
  <xdr:oneCellAnchor>
    <xdr:from>
      <xdr:col>3</xdr:col>
      <xdr:colOff>173181</xdr:colOff>
      <xdr:row>103</xdr:row>
      <xdr:rowOff>850276</xdr:rowOff>
    </xdr:from>
    <xdr:ext cx="650729" cy="667220"/>
    <xdr:pic>
      <xdr:nvPicPr>
        <xdr:cNvPr id="35" name="Imagen 34">
          <a:extLst>
            <a:ext uri="{FF2B5EF4-FFF2-40B4-BE49-F238E27FC236}">
              <a16:creationId xmlns:a16="http://schemas.microsoft.com/office/drawing/2014/main" id="{97C60F0B-4599-4B00-A3BA-213539F98F5D}"/>
            </a:ext>
          </a:extLst>
        </xdr:cNvPr>
        <xdr:cNvPicPr>
          <a:picLocks noChangeAspect="1"/>
        </xdr:cNvPicPr>
      </xdr:nvPicPr>
      <xdr:blipFill>
        <a:blip xmlns:r="http://schemas.openxmlformats.org/officeDocument/2006/relationships" r:embed="rId16"/>
        <a:stretch>
          <a:fillRect/>
        </a:stretch>
      </xdr:blipFill>
      <xdr:spPr>
        <a:xfrm>
          <a:off x="3665681" y="56913079"/>
          <a:ext cx="650729" cy="667220"/>
        </a:xfrm>
        <a:prstGeom prst="rect">
          <a:avLst/>
        </a:prstGeom>
      </xdr:spPr>
    </xdr:pic>
    <xdr:clientData/>
  </xdr:oneCellAnchor>
  <xdr:twoCellAnchor editAs="oneCell">
    <xdr:from>
      <xdr:col>3</xdr:col>
      <xdr:colOff>67349</xdr:colOff>
      <xdr:row>52</xdr:row>
      <xdr:rowOff>603542</xdr:rowOff>
    </xdr:from>
    <xdr:to>
      <xdr:col>3</xdr:col>
      <xdr:colOff>1197591</xdr:colOff>
      <xdr:row>52</xdr:row>
      <xdr:rowOff>1822892</xdr:rowOff>
    </xdr:to>
    <xdr:pic>
      <xdr:nvPicPr>
        <xdr:cNvPr id="3" name="Imagen 2">
          <a:extLst>
            <a:ext uri="{FF2B5EF4-FFF2-40B4-BE49-F238E27FC236}">
              <a16:creationId xmlns:a16="http://schemas.microsoft.com/office/drawing/2014/main" id="{0B732C85-E7C7-2CFB-5E0E-2D5E95B25C0F}"/>
            </a:ext>
          </a:extLst>
        </xdr:cNvPr>
        <xdr:cNvPicPr>
          <a:picLocks noChangeAspect="1"/>
        </xdr:cNvPicPr>
      </xdr:nvPicPr>
      <xdr:blipFill>
        <a:blip xmlns:r="http://schemas.openxmlformats.org/officeDocument/2006/relationships" r:embed="rId19"/>
        <a:stretch>
          <a:fillRect/>
        </a:stretch>
      </xdr:blipFill>
      <xdr:spPr>
        <a:xfrm>
          <a:off x="3559849" y="24579603"/>
          <a:ext cx="1130242" cy="1219350"/>
        </a:xfrm>
        <a:prstGeom prst="rect">
          <a:avLst/>
        </a:prstGeom>
      </xdr:spPr>
    </xdr:pic>
    <xdr:clientData/>
  </xdr:twoCellAnchor>
  <xdr:twoCellAnchor editAs="oneCell">
    <xdr:from>
      <xdr:col>3</xdr:col>
      <xdr:colOff>211666</xdr:colOff>
      <xdr:row>64</xdr:row>
      <xdr:rowOff>875010</xdr:rowOff>
    </xdr:from>
    <xdr:to>
      <xdr:col>3</xdr:col>
      <xdr:colOff>1226453</xdr:colOff>
      <xdr:row>64</xdr:row>
      <xdr:rowOff>1969803</xdr:rowOff>
    </xdr:to>
    <xdr:pic>
      <xdr:nvPicPr>
        <xdr:cNvPr id="36" name="Imagen 35">
          <a:extLst>
            <a:ext uri="{FF2B5EF4-FFF2-40B4-BE49-F238E27FC236}">
              <a16:creationId xmlns:a16="http://schemas.microsoft.com/office/drawing/2014/main" id="{654A667B-EF92-4A5A-AEA2-6B68EFC99F51}"/>
            </a:ext>
          </a:extLst>
        </xdr:cNvPr>
        <xdr:cNvPicPr>
          <a:picLocks noChangeAspect="1"/>
        </xdr:cNvPicPr>
      </xdr:nvPicPr>
      <xdr:blipFill>
        <a:blip xmlns:r="http://schemas.openxmlformats.org/officeDocument/2006/relationships" r:embed="rId19"/>
        <a:stretch>
          <a:fillRect/>
        </a:stretch>
      </xdr:blipFill>
      <xdr:spPr>
        <a:xfrm>
          <a:off x="3704166" y="35213116"/>
          <a:ext cx="1014787" cy="10947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111125</xdr:colOff>
      <xdr:row>2</xdr:row>
      <xdr:rowOff>1143000</xdr:rowOff>
    </xdr:from>
    <xdr:to>
      <xdr:col>3</xdr:col>
      <xdr:colOff>1818640</xdr:colOff>
      <xdr:row>2</xdr:row>
      <xdr:rowOff>2985135</xdr:rowOff>
    </xdr:to>
    <xdr:pic>
      <xdr:nvPicPr>
        <xdr:cNvPr id="2" name="Imagen 1">
          <a:extLst>
            <a:ext uri="{FF2B5EF4-FFF2-40B4-BE49-F238E27FC236}">
              <a16:creationId xmlns:a16="http://schemas.microsoft.com/office/drawing/2014/main" id="{7366029E-C4FA-5068-D315-546EE3E49841}"/>
            </a:ext>
          </a:extLst>
        </xdr:cNvPr>
        <xdr:cNvPicPr>
          <a:picLocks noChangeAspect="1"/>
        </xdr:cNvPicPr>
      </xdr:nvPicPr>
      <xdr:blipFill>
        <a:blip xmlns:r="http://schemas.openxmlformats.org/officeDocument/2006/relationships" r:embed="rId1"/>
        <a:stretch>
          <a:fillRect/>
        </a:stretch>
      </xdr:blipFill>
      <xdr:spPr>
        <a:xfrm>
          <a:off x="3889375" y="1952625"/>
          <a:ext cx="1707515" cy="18421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603249</xdr:colOff>
      <xdr:row>3</xdr:row>
      <xdr:rowOff>857250</xdr:rowOff>
    </xdr:from>
    <xdr:to>
      <xdr:col>5</xdr:col>
      <xdr:colOff>2612956</xdr:colOff>
      <xdr:row>3</xdr:row>
      <xdr:rowOff>3635375</xdr:rowOff>
    </xdr:to>
    <xdr:pic>
      <xdr:nvPicPr>
        <xdr:cNvPr id="2" name="Imagen 1">
          <a:extLst>
            <a:ext uri="{FF2B5EF4-FFF2-40B4-BE49-F238E27FC236}">
              <a16:creationId xmlns:a16="http://schemas.microsoft.com/office/drawing/2014/main" id="{3F542A7A-F8A4-44D2-A7DB-ADDF8612C567}"/>
            </a:ext>
          </a:extLst>
        </xdr:cNvPr>
        <xdr:cNvPicPr>
          <a:picLocks noChangeAspect="1"/>
        </xdr:cNvPicPr>
      </xdr:nvPicPr>
      <xdr:blipFill>
        <a:blip xmlns:r="http://schemas.openxmlformats.org/officeDocument/2006/relationships" r:embed="rId1"/>
        <a:stretch>
          <a:fillRect/>
        </a:stretch>
      </xdr:blipFill>
      <xdr:spPr>
        <a:xfrm>
          <a:off x="9029699" y="2241550"/>
          <a:ext cx="2009707" cy="2778125"/>
        </a:xfrm>
        <a:prstGeom prst="rect">
          <a:avLst/>
        </a:prstGeom>
      </xdr:spPr>
    </xdr:pic>
    <xdr:clientData/>
  </xdr:twoCellAnchor>
  <xdr:twoCellAnchor editAs="oneCell">
    <xdr:from>
      <xdr:col>5</xdr:col>
      <xdr:colOff>762000</xdr:colOff>
      <xdr:row>4</xdr:row>
      <xdr:rowOff>254000</xdr:rowOff>
    </xdr:from>
    <xdr:to>
      <xdr:col>5</xdr:col>
      <xdr:colOff>2328808</xdr:colOff>
      <xdr:row>4</xdr:row>
      <xdr:rowOff>1455016</xdr:rowOff>
    </xdr:to>
    <xdr:pic>
      <xdr:nvPicPr>
        <xdr:cNvPr id="3" name="Imagen 2">
          <a:extLst>
            <a:ext uri="{FF2B5EF4-FFF2-40B4-BE49-F238E27FC236}">
              <a16:creationId xmlns:a16="http://schemas.microsoft.com/office/drawing/2014/main" id="{26FE6C1F-833E-44DD-AA0B-8AFA1074BD79}"/>
            </a:ext>
          </a:extLst>
        </xdr:cNvPr>
        <xdr:cNvPicPr>
          <a:picLocks noChangeAspect="1"/>
        </xdr:cNvPicPr>
      </xdr:nvPicPr>
      <xdr:blipFill>
        <a:blip xmlns:r="http://schemas.openxmlformats.org/officeDocument/2006/relationships" r:embed="rId2"/>
        <a:stretch>
          <a:fillRect/>
        </a:stretch>
      </xdr:blipFill>
      <xdr:spPr>
        <a:xfrm>
          <a:off x="9188450" y="6026150"/>
          <a:ext cx="1566808" cy="1201016"/>
        </a:xfrm>
        <a:prstGeom prst="rect">
          <a:avLst/>
        </a:prstGeom>
      </xdr:spPr>
    </xdr:pic>
    <xdr:clientData/>
  </xdr:twoCellAnchor>
  <xdr:twoCellAnchor editAs="oneCell">
    <xdr:from>
      <xdr:col>5</xdr:col>
      <xdr:colOff>571499</xdr:colOff>
      <xdr:row>5</xdr:row>
      <xdr:rowOff>841375</xdr:rowOff>
    </xdr:from>
    <xdr:to>
      <xdr:col>5</xdr:col>
      <xdr:colOff>2535196</xdr:colOff>
      <xdr:row>5</xdr:row>
      <xdr:rowOff>3381375</xdr:rowOff>
    </xdr:to>
    <xdr:pic>
      <xdr:nvPicPr>
        <xdr:cNvPr id="4" name="Imagen 3">
          <a:extLst>
            <a:ext uri="{FF2B5EF4-FFF2-40B4-BE49-F238E27FC236}">
              <a16:creationId xmlns:a16="http://schemas.microsoft.com/office/drawing/2014/main" id="{67C938F4-721E-4A53-BA2C-C0C502E24E23}"/>
            </a:ext>
          </a:extLst>
        </xdr:cNvPr>
        <xdr:cNvPicPr>
          <a:picLocks noChangeAspect="1"/>
        </xdr:cNvPicPr>
      </xdr:nvPicPr>
      <xdr:blipFill>
        <a:blip xmlns:r="http://schemas.openxmlformats.org/officeDocument/2006/relationships" r:embed="rId3"/>
        <a:stretch>
          <a:fillRect/>
        </a:stretch>
      </xdr:blipFill>
      <xdr:spPr>
        <a:xfrm>
          <a:off x="8997949" y="8181975"/>
          <a:ext cx="1963697" cy="2540000"/>
        </a:xfrm>
        <a:prstGeom prst="rect">
          <a:avLst/>
        </a:prstGeom>
      </xdr:spPr>
    </xdr:pic>
    <xdr:clientData/>
  </xdr:twoCellAnchor>
  <xdr:twoCellAnchor editAs="oneCell">
    <xdr:from>
      <xdr:col>5</xdr:col>
      <xdr:colOff>587374</xdr:colOff>
      <xdr:row>6</xdr:row>
      <xdr:rowOff>612690</xdr:rowOff>
    </xdr:from>
    <xdr:to>
      <xdr:col>5</xdr:col>
      <xdr:colOff>2508249</xdr:colOff>
      <xdr:row>6</xdr:row>
      <xdr:rowOff>2952041</xdr:rowOff>
    </xdr:to>
    <xdr:pic>
      <xdr:nvPicPr>
        <xdr:cNvPr id="5" name="Imagen 4">
          <a:extLst>
            <a:ext uri="{FF2B5EF4-FFF2-40B4-BE49-F238E27FC236}">
              <a16:creationId xmlns:a16="http://schemas.microsoft.com/office/drawing/2014/main" id="{5134315C-67B3-44FB-AB56-D8EBF479614D}"/>
            </a:ext>
          </a:extLst>
        </xdr:cNvPr>
        <xdr:cNvPicPr>
          <a:picLocks noChangeAspect="1"/>
        </xdr:cNvPicPr>
      </xdr:nvPicPr>
      <xdr:blipFill>
        <a:blip xmlns:r="http://schemas.openxmlformats.org/officeDocument/2006/relationships" r:embed="rId4"/>
        <a:stretch>
          <a:fillRect/>
        </a:stretch>
      </xdr:blipFill>
      <xdr:spPr>
        <a:xfrm>
          <a:off x="9013824" y="12315740"/>
          <a:ext cx="1920875" cy="2339351"/>
        </a:xfrm>
        <a:prstGeom prst="rect">
          <a:avLst/>
        </a:prstGeom>
      </xdr:spPr>
    </xdr:pic>
    <xdr:clientData/>
  </xdr:twoCellAnchor>
  <xdr:twoCellAnchor editAs="oneCell">
    <xdr:from>
      <xdr:col>5</xdr:col>
      <xdr:colOff>492125</xdr:colOff>
      <xdr:row>7</xdr:row>
      <xdr:rowOff>190499</xdr:rowOff>
    </xdr:from>
    <xdr:to>
      <xdr:col>5</xdr:col>
      <xdr:colOff>2397125</xdr:colOff>
      <xdr:row>7</xdr:row>
      <xdr:rowOff>1759322</xdr:rowOff>
    </xdr:to>
    <xdr:pic>
      <xdr:nvPicPr>
        <xdr:cNvPr id="6" name="Imagen 5">
          <a:extLst>
            <a:ext uri="{FF2B5EF4-FFF2-40B4-BE49-F238E27FC236}">
              <a16:creationId xmlns:a16="http://schemas.microsoft.com/office/drawing/2014/main" id="{A82D604C-0B66-43C0-9B5B-9F1097448E02}"/>
            </a:ext>
          </a:extLst>
        </xdr:cNvPr>
        <xdr:cNvPicPr>
          <a:picLocks noChangeAspect="1"/>
        </xdr:cNvPicPr>
      </xdr:nvPicPr>
      <xdr:blipFill>
        <a:blip xmlns:r="http://schemas.openxmlformats.org/officeDocument/2006/relationships" r:embed="rId5"/>
        <a:stretch>
          <a:fillRect/>
        </a:stretch>
      </xdr:blipFill>
      <xdr:spPr>
        <a:xfrm>
          <a:off x="8918575" y="15297149"/>
          <a:ext cx="1905000" cy="1568823"/>
        </a:xfrm>
        <a:prstGeom prst="rect">
          <a:avLst/>
        </a:prstGeom>
      </xdr:spPr>
    </xdr:pic>
    <xdr:clientData/>
  </xdr:twoCellAnchor>
  <xdr:twoCellAnchor editAs="oneCell">
    <xdr:from>
      <xdr:col>5</xdr:col>
      <xdr:colOff>428624</xdr:colOff>
      <xdr:row>8</xdr:row>
      <xdr:rowOff>142875</xdr:rowOff>
    </xdr:from>
    <xdr:to>
      <xdr:col>5</xdr:col>
      <xdr:colOff>2510617</xdr:colOff>
      <xdr:row>8</xdr:row>
      <xdr:rowOff>1301750</xdr:rowOff>
    </xdr:to>
    <xdr:pic>
      <xdr:nvPicPr>
        <xdr:cNvPr id="7" name="Imagen 6">
          <a:extLst>
            <a:ext uri="{FF2B5EF4-FFF2-40B4-BE49-F238E27FC236}">
              <a16:creationId xmlns:a16="http://schemas.microsoft.com/office/drawing/2014/main" id="{86051920-289E-483D-A16D-86F6D3AB7002}"/>
            </a:ext>
          </a:extLst>
        </xdr:cNvPr>
        <xdr:cNvPicPr>
          <a:picLocks noChangeAspect="1"/>
        </xdr:cNvPicPr>
      </xdr:nvPicPr>
      <xdr:blipFill>
        <a:blip xmlns:r="http://schemas.openxmlformats.org/officeDocument/2006/relationships" r:embed="rId6"/>
        <a:stretch>
          <a:fillRect/>
        </a:stretch>
      </xdr:blipFill>
      <xdr:spPr>
        <a:xfrm>
          <a:off x="8855074" y="17103725"/>
          <a:ext cx="2081993" cy="1158875"/>
        </a:xfrm>
        <a:prstGeom prst="rect">
          <a:avLst/>
        </a:prstGeom>
      </xdr:spPr>
    </xdr:pic>
    <xdr:clientData/>
  </xdr:twoCellAnchor>
  <xdr:twoCellAnchor editAs="oneCell">
    <xdr:from>
      <xdr:col>5</xdr:col>
      <xdr:colOff>809625</xdr:colOff>
      <xdr:row>9</xdr:row>
      <xdr:rowOff>127000</xdr:rowOff>
    </xdr:from>
    <xdr:to>
      <xdr:col>5</xdr:col>
      <xdr:colOff>2428875</xdr:colOff>
      <xdr:row>9</xdr:row>
      <xdr:rowOff>1717755</xdr:rowOff>
    </xdr:to>
    <xdr:pic>
      <xdr:nvPicPr>
        <xdr:cNvPr id="8" name="Imagen 7">
          <a:extLst>
            <a:ext uri="{FF2B5EF4-FFF2-40B4-BE49-F238E27FC236}">
              <a16:creationId xmlns:a16="http://schemas.microsoft.com/office/drawing/2014/main" id="{85B6FB35-FB2E-4C13-A37C-24D75B221172}"/>
            </a:ext>
          </a:extLst>
        </xdr:cNvPr>
        <xdr:cNvPicPr>
          <a:picLocks noChangeAspect="1"/>
        </xdr:cNvPicPr>
      </xdr:nvPicPr>
      <xdr:blipFill>
        <a:blip xmlns:r="http://schemas.openxmlformats.org/officeDocument/2006/relationships" r:embed="rId7"/>
        <a:stretch>
          <a:fillRect/>
        </a:stretch>
      </xdr:blipFill>
      <xdr:spPr>
        <a:xfrm>
          <a:off x="9236075" y="18567400"/>
          <a:ext cx="1619250" cy="1590755"/>
        </a:xfrm>
        <a:prstGeom prst="rect">
          <a:avLst/>
        </a:prstGeom>
      </xdr:spPr>
    </xdr:pic>
    <xdr:clientData/>
  </xdr:twoCellAnchor>
  <xdr:twoCellAnchor editAs="oneCell">
    <xdr:from>
      <xdr:col>5</xdr:col>
      <xdr:colOff>793750</xdr:colOff>
      <xdr:row>10</xdr:row>
      <xdr:rowOff>206375</xdr:rowOff>
    </xdr:from>
    <xdr:to>
      <xdr:col>5</xdr:col>
      <xdr:colOff>2453640</xdr:colOff>
      <xdr:row>10</xdr:row>
      <xdr:rowOff>1456690</xdr:rowOff>
    </xdr:to>
    <xdr:pic>
      <xdr:nvPicPr>
        <xdr:cNvPr id="9" name="Imagen 8">
          <a:extLst>
            <a:ext uri="{FF2B5EF4-FFF2-40B4-BE49-F238E27FC236}">
              <a16:creationId xmlns:a16="http://schemas.microsoft.com/office/drawing/2014/main" id="{29E7DBDD-B3EF-4F3E-BCE9-610EC084D4A7}"/>
            </a:ext>
          </a:extLst>
        </xdr:cNvPr>
        <xdr:cNvPicPr>
          <a:picLocks noChangeAspect="1"/>
        </xdr:cNvPicPr>
      </xdr:nvPicPr>
      <xdr:blipFill rotWithShape="1">
        <a:blip xmlns:r="http://schemas.openxmlformats.org/officeDocument/2006/relationships" r:embed="rId8"/>
        <a:srcRect t="24666"/>
        <a:stretch/>
      </xdr:blipFill>
      <xdr:spPr bwMode="auto">
        <a:xfrm>
          <a:off x="9220200" y="20513675"/>
          <a:ext cx="1659890" cy="12503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269874</xdr:colOff>
      <xdr:row>11</xdr:row>
      <xdr:rowOff>142875</xdr:rowOff>
    </xdr:from>
    <xdr:to>
      <xdr:col>5</xdr:col>
      <xdr:colOff>2736521</xdr:colOff>
      <xdr:row>11</xdr:row>
      <xdr:rowOff>2428875</xdr:rowOff>
    </xdr:to>
    <xdr:pic>
      <xdr:nvPicPr>
        <xdr:cNvPr id="10" name="Imagen 9">
          <a:extLst>
            <a:ext uri="{FF2B5EF4-FFF2-40B4-BE49-F238E27FC236}">
              <a16:creationId xmlns:a16="http://schemas.microsoft.com/office/drawing/2014/main" id="{EEEE0DC2-7E5A-4BBC-B135-D6C0BEA3DEA7}"/>
            </a:ext>
          </a:extLst>
        </xdr:cNvPr>
        <xdr:cNvPicPr>
          <a:picLocks noChangeAspect="1"/>
        </xdr:cNvPicPr>
      </xdr:nvPicPr>
      <xdr:blipFill>
        <a:blip xmlns:r="http://schemas.openxmlformats.org/officeDocument/2006/relationships" r:embed="rId9"/>
        <a:stretch>
          <a:fillRect/>
        </a:stretch>
      </xdr:blipFill>
      <xdr:spPr>
        <a:xfrm>
          <a:off x="8696324" y="21999575"/>
          <a:ext cx="2466647" cy="2286000"/>
        </a:xfrm>
        <a:prstGeom prst="rect">
          <a:avLst/>
        </a:prstGeom>
      </xdr:spPr>
    </xdr:pic>
    <xdr:clientData/>
  </xdr:twoCellAnchor>
  <xdr:twoCellAnchor editAs="oneCell">
    <xdr:from>
      <xdr:col>5</xdr:col>
      <xdr:colOff>444499</xdr:colOff>
      <xdr:row>12</xdr:row>
      <xdr:rowOff>1079501</xdr:rowOff>
    </xdr:from>
    <xdr:to>
      <xdr:col>5</xdr:col>
      <xdr:colOff>2540859</xdr:colOff>
      <xdr:row>12</xdr:row>
      <xdr:rowOff>2936875</xdr:rowOff>
    </xdr:to>
    <xdr:pic>
      <xdr:nvPicPr>
        <xdr:cNvPr id="11" name="Imagen 10">
          <a:extLst>
            <a:ext uri="{FF2B5EF4-FFF2-40B4-BE49-F238E27FC236}">
              <a16:creationId xmlns:a16="http://schemas.microsoft.com/office/drawing/2014/main" id="{12B3252D-68BC-4AC8-B80B-3FA682C9BB29}"/>
            </a:ext>
          </a:extLst>
        </xdr:cNvPr>
        <xdr:cNvPicPr>
          <a:picLocks noChangeAspect="1"/>
        </xdr:cNvPicPr>
      </xdr:nvPicPr>
      <xdr:blipFill>
        <a:blip xmlns:r="http://schemas.openxmlformats.org/officeDocument/2006/relationships" r:embed="rId10"/>
        <a:stretch>
          <a:fillRect/>
        </a:stretch>
      </xdr:blipFill>
      <xdr:spPr>
        <a:xfrm>
          <a:off x="8870949" y="25520651"/>
          <a:ext cx="2096360" cy="1857374"/>
        </a:xfrm>
        <a:prstGeom prst="rect">
          <a:avLst/>
        </a:prstGeom>
      </xdr:spPr>
    </xdr:pic>
    <xdr:clientData/>
  </xdr:twoCellAnchor>
  <xdr:twoCellAnchor editAs="oneCell">
    <xdr:from>
      <xdr:col>5</xdr:col>
      <xdr:colOff>396875</xdr:colOff>
      <xdr:row>13</xdr:row>
      <xdr:rowOff>1619250</xdr:rowOff>
    </xdr:from>
    <xdr:to>
      <xdr:col>5</xdr:col>
      <xdr:colOff>2828868</xdr:colOff>
      <xdr:row>13</xdr:row>
      <xdr:rowOff>3079750</xdr:rowOff>
    </xdr:to>
    <xdr:pic>
      <xdr:nvPicPr>
        <xdr:cNvPr id="12" name="Imagen 11">
          <a:extLst>
            <a:ext uri="{FF2B5EF4-FFF2-40B4-BE49-F238E27FC236}">
              <a16:creationId xmlns:a16="http://schemas.microsoft.com/office/drawing/2014/main" id="{76F43222-5B6A-447A-8FFD-2C6A4D911977}"/>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823325" y="30238700"/>
          <a:ext cx="2431993" cy="1460500"/>
        </a:xfrm>
        <a:prstGeom prst="rect">
          <a:avLst/>
        </a:prstGeom>
      </xdr:spPr>
    </xdr:pic>
    <xdr:clientData/>
  </xdr:twoCellAnchor>
  <xdr:twoCellAnchor editAs="oneCell">
    <xdr:from>
      <xdr:col>5</xdr:col>
      <xdr:colOff>714375</xdr:colOff>
      <xdr:row>15</xdr:row>
      <xdr:rowOff>254000</xdr:rowOff>
    </xdr:from>
    <xdr:to>
      <xdr:col>5</xdr:col>
      <xdr:colOff>2421255</xdr:colOff>
      <xdr:row>15</xdr:row>
      <xdr:rowOff>1720850</xdr:rowOff>
    </xdr:to>
    <xdr:pic>
      <xdr:nvPicPr>
        <xdr:cNvPr id="13" name="Imagen 12">
          <a:extLst>
            <a:ext uri="{FF2B5EF4-FFF2-40B4-BE49-F238E27FC236}">
              <a16:creationId xmlns:a16="http://schemas.microsoft.com/office/drawing/2014/main" id="{C66F6AE7-19F6-4BF8-87B3-BFBD775538C6}"/>
            </a:ext>
          </a:extLst>
        </xdr:cNvPr>
        <xdr:cNvPicPr>
          <a:picLocks noChangeAspect="1"/>
        </xdr:cNvPicPr>
      </xdr:nvPicPr>
      <xdr:blipFill rotWithShape="1">
        <a:blip xmlns:r="http://schemas.openxmlformats.org/officeDocument/2006/relationships" r:embed="rId12"/>
        <a:srcRect t="17178" b="15281"/>
        <a:stretch/>
      </xdr:blipFill>
      <xdr:spPr bwMode="auto">
        <a:xfrm>
          <a:off x="9140825" y="38322250"/>
          <a:ext cx="1706880" cy="14668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317500</xdr:colOff>
      <xdr:row>16</xdr:row>
      <xdr:rowOff>299825</xdr:rowOff>
    </xdr:from>
    <xdr:to>
      <xdr:col>5</xdr:col>
      <xdr:colOff>2635250</xdr:colOff>
      <xdr:row>16</xdr:row>
      <xdr:rowOff>2319655</xdr:rowOff>
    </xdr:to>
    <xdr:pic>
      <xdr:nvPicPr>
        <xdr:cNvPr id="14" name="Imagen 13">
          <a:extLst>
            <a:ext uri="{FF2B5EF4-FFF2-40B4-BE49-F238E27FC236}">
              <a16:creationId xmlns:a16="http://schemas.microsoft.com/office/drawing/2014/main" id="{AAD893CC-B20E-4BFD-9FCE-636B2752246A}"/>
            </a:ext>
          </a:extLst>
        </xdr:cNvPr>
        <xdr:cNvPicPr>
          <a:picLocks noChangeAspect="1"/>
        </xdr:cNvPicPr>
      </xdr:nvPicPr>
      <xdr:blipFill>
        <a:blip xmlns:r="http://schemas.openxmlformats.org/officeDocument/2006/relationships" r:embed="rId13"/>
        <a:stretch>
          <a:fillRect/>
        </a:stretch>
      </xdr:blipFill>
      <xdr:spPr>
        <a:xfrm>
          <a:off x="8743950" y="40247675"/>
          <a:ext cx="2317750" cy="2019830"/>
        </a:xfrm>
        <a:prstGeom prst="rect">
          <a:avLst/>
        </a:prstGeom>
      </xdr:spPr>
    </xdr:pic>
    <xdr:clientData/>
  </xdr:twoCellAnchor>
  <xdr:twoCellAnchor editAs="oneCell">
    <xdr:from>
      <xdr:col>5</xdr:col>
      <xdr:colOff>190499</xdr:colOff>
      <xdr:row>17</xdr:row>
      <xdr:rowOff>1250969</xdr:rowOff>
    </xdr:from>
    <xdr:to>
      <xdr:col>5</xdr:col>
      <xdr:colOff>2778124</xdr:colOff>
      <xdr:row>17</xdr:row>
      <xdr:rowOff>3208021</xdr:rowOff>
    </xdr:to>
    <xdr:pic>
      <xdr:nvPicPr>
        <xdr:cNvPr id="15" name="Imagen 14">
          <a:extLst>
            <a:ext uri="{FF2B5EF4-FFF2-40B4-BE49-F238E27FC236}">
              <a16:creationId xmlns:a16="http://schemas.microsoft.com/office/drawing/2014/main" id="{DF24F751-3CCE-4E32-8BDD-539D01457073}"/>
            </a:ext>
          </a:extLst>
        </xdr:cNvPr>
        <xdr:cNvPicPr>
          <a:picLocks noChangeAspect="1"/>
        </xdr:cNvPicPr>
      </xdr:nvPicPr>
      <xdr:blipFill>
        <a:blip xmlns:r="http://schemas.openxmlformats.org/officeDocument/2006/relationships" r:embed="rId14"/>
        <a:stretch>
          <a:fillRect/>
        </a:stretch>
      </xdr:blipFill>
      <xdr:spPr>
        <a:xfrm>
          <a:off x="8616949" y="46399469"/>
          <a:ext cx="2587625" cy="1957052"/>
        </a:xfrm>
        <a:prstGeom prst="rect">
          <a:avLst/>
        </a:prstGeom>
      </xdr:spPr>
    </xdr:pic>
    <xdr:clientData/>
  </xdr:twoCellAnchor>
  <xdr:twoCellAnchor editAs="oneCell">
    <xdr:from>
      <xdr:col>5</xdr:col>
      <xdr:colOff>809625</xdr:colOff>
      <xdr:row>18</xdr:row>
      <xdr:rowOff>159931</xdr:rowOff>
    </xdr:from>
    <xdr:to>
      <xdr:col>5</xdr:col>
      <xdr:colOff>2809875</xdr:colOff>
      <xdr:row>18</xdr:row>
      <xdr:rowOff>2468771</xdr:rowOff>
    </xdr:to>
    <xdr:pic>
      <xdr:nvPicPr>
        <xdr:cNvPr id="16" name="Imagen 15">
          <a:extLst>
            <a:ext uri="{FF2B5EF4-FFF2-40B4-BE49-F238E27FC236}">
              <a16:creationId xmlns:a16="http://schemas.microsoft.com/office/drawing/2014/main" id="{01394319-4E92-445E-A1A4-5E723F380E81}"/>
            </a:ext>
          </a:extLst>
        </xdr:cNvPr>
        <xdr:cNvPicPr>
          <a:picLocks noChangeAspect="1"/>
        </xdr:cNvPicPr>
      </xdr:nvPicPr>
      <xdr:blipFill>
        <a:blip xmlns:r="http://schemas.openxmlformats.org/officeDocument/2006/relationships" r:embed="rId15"/>
        <a:stretch>
          <a:fillRect/>
        </a:stretch>
      </xdr:blipFill>
      <xdr:spPr>
        <a:xfrm>
          <a:off x="9236075" y="49994731"/>
          <a:ext cx="2000250" cy="2308840"/>
        </a:xfrm>
        <a:prstGeom prst="rect">
          <a:avLst/>
        </a:prstGeom>
      </xdr:spPr>
    </xdr:pic>
    <xdr:clientData/>
  </xdr:twoCellAnchor>
  <xdr:twoCellAnchor editAs="oneCell">
    <xdr:from>
      <xdr:col>5</xdr:col>
      <xdr:colOff>55003</xdr:colOff>
      <xdr:row>18</xdr:row>
      <xdr:rowOff>2555875</xdr:rowOff>
    </xdr:from>
    <xdr:to>
      <xdr:col>5</xdr:col>
      <xdr:colOff>2398903</xdr:colOff>
      <xdr:row>18</xdr:row>
      <xdr:rowOff>4955540</xdr:rowOff>
    </xdr:to>
    <xdr:pic>
      <xdr:nvPicPr>
        <xdr:cNvPr id="17" name="Imagen 16">
          <a:extLst>
            <a:ext uri="{FF2B5EF4-FFF2-40B4-BE49-F238E27FC236}">
              <a16:creationId xmlns:a16="http://schemas.microsoft.com/office/drawing/2014/main" id="{E84BD719-2C39-46B8-A0EC-78079B9BC7E4}"/>
            </a:ext>
          </a:extLst>
        </xdr:cNvPr>
        <xdr:cNvPicPr>
          <a:picLocks noChangeAspect="1"/>
        </xdr:cNvPicPr>
      </xdr:nvPicPr>
      <xdr:blipFill>
        <a:blip xmlns:r="http://schemas.openxmlformats.org/officeDocument/2006/relationships" r:embed="rId16"/>
        <a:stretch>
          <a:fillRect/>
        </a:stretch>
      </xdr:blipFill>
      <xdr:spPr>
        <a:xfrm>
          <a:off x="8481453" y="52390675"/>
          <a:ext cx="2343900" cy="2399665"/>
        </a:xfrm>
        <a:prstGeom prst="rect">
          <a:avLst/>
        </a:prstGeom>
      </xdr:spPr>
    </xdr:pic>
    <xdr:clientData/>
  </xdr:twoCellAnchor>
  <xdr:twoCellAnchor editAs="oneCell">
    <xdr:from>
      <xdr:col>5</xdr:col>
      <xdr:colOff>730250</xdr:colOff>
      <xdr:row>19</xdr:row>
      <xdr:rowOff>262276</xdr:rowOff>
    </xdr:from>
    <xdr:to>
      <xdr:col>5</xdr:col>
      <xdr:colOff>2310765</xdr:colOff>
      <xdr:row>19</xdr:row>
      <xdr:rowOff>1550669</xdr:rowOff>
    </xdr:to>
    <xdr:pic>
      <xdr:nvPicPr>
        <xdr:cNvPr id="18" name="Imagen 17">
          <a:extLst>
            <a:ext uri="{FF2B5EF4-FFF2-40B4-BE49-F238E27FC236}">
              <a16:creationId xmlns:a16="http://schemas.microsoft.com/office/drawing/2014/main" id="{B087A418-CF64-424B-89FD-2F04BE153F0B}"/>
            </a:ext>
          </a:extLst>
        </xdr:cNvPr>
        <xdr:cNvPicPr>
          <a:picLocks noChangeAspect="1"/>
        </xdr:cNvPicPr>
      </xdr:nvPicPr>
      <xdr:blipFill>
        <a:blip xmlns:r="http://schemas.openxmlformats.org/officeDocument/2006/relationships" r:embed="rId17"/>
        <a:stretch>
          <a:fillRect/>
        </a:stretch>
      </xdr:blipFill>
      <xdr:spPr>
        <a:xfrm>
          <a:off x="9156700" y="55297726"/>
          <a:ext cx="1580515" cy="1288393"/>
        </a:xfrm>
        <a:prstGeom prst="rect">
          <a:avLst/>
        </a:prstGeom>
      </xdr:spPr>
    </xdr:pic>
    <xdr:clientData/>
  </xdr:twoCellAnchor>
  <xdr:twoCellAnchor editAs="oneCell">
    <xdr:from>
      <xdr:col>5</xdr:col>
      <xdr:colOff>349249</xdr:colOff>
      <xdr:row>20</xdr:row>
      <xdr:rowOff>539750</xdr:rowOff>
    </xdr:from>
    <xdr:to>
      <xdr:col>5</xdr:col>
      <xdr:colOff>2494266</xdr:colOff>
      <xdr:row>20</xdr:row>
      <xdr:rowOff>2098675</xdr:rowOff>
    </xdr:to>
    <xdr:pic>
      <xdr:nvPicPr>
        <xdr:cNvPr id="19" name="Imagen 18">
          <a:extLst>
            <a:ext uri="{FF2B5EF4-FFF2-40B4-BE49-F238E27FC236}">
              <a16:creationId xmlns:a16="http://schemas.microsoft.com/office/drawing/2014/main" id="{8C66BFAE-88B5-486F-9E01-74B664AB68AE}"/>
            </a:ext>
          </a:extLst>
        </xdr:cNvPr>
        <xdr:cNvPicPr>
          <a:picLocks noChangeAspect="1"/>
        </xdr:cNvPicPr>
      </xdr:nvPicPr>
      <xdr:blipFill>
        <a:blip xmlns:r="http://schemas.openxmlformats.org/officeDocument/2006/relationships" r:embed="rId18"/>
        <a:stretch>
          <a:fillRect/>
        </a:stretch>
      </xdr:blipFill>
      <xdr:spPr>
        <a:xfrm>
          <a:off x="8775699" y="57391300"/>
          <a:ext cx="2145017" cy="15589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603249</xdr:colOff>
      <xdr:row>3</xdr:row>
      <xdr:rowOff>857250</xdr:rowOff>
    </xdr:from>
    <xdr:to>
      <xdr:col>5</xdr:col>
      <xdr:colOff>2612956</xdr:colOff>
      <xdr:row>3</xdr:row>
      <xdr:rowOff>3635375</xdr:rowOff>
    </xdr:to>
    <xdr:pic>
      <xdr:nvPicPr>
        <xdr:cNvPr id="2" name="Imagen 1">
          <a:extLst>
            <a:ext uri="{FF2B5EF4-FFF2-40B4-BE49-F238E27FC236}">
              <a16:creationId xmlns:a16="http://schemas.microsoft.com/office/drawing/2014/main" id="{45C181F1-71A2-4EE4-8264-B00C6A5AE2A8}"/>
            </a:ext>
          </a:extLst>
        </xdr:cNvPr>
        <xdr:cNvPicPr>
          <a:picLocks noChangeAspect="1"/>
        </xdr:cNvPicPr>
      </xdr:nvPicPr>
      <xdr:blipFill>
        <a:blip xmlns:r="http://schemas.openxmlformats.org/officeDocument/2006/relationships" r:embed="rId1"/>
        <a:stretch>
          <a:fillRect/>
        </a:stretch>
      </xdr:blipFill>
      <xdr:spPr>
        <a:xfrm>
          <a:off x="9029699" y="9531350"/>
          <a:ext cx="2009707" cy="2778125"/>
        </a:xfrm>
        <a:prstGeom prst="rect">
          <a:avLst/>
        </a:prstGeom>
      </xdr:spPr>
    </xdr:pic>
    <xdr:clientData/>
  </xdr:twoCellAnchor>
  <xdr:twoCellAnchor editAs="oneCell">
    <xdr:from>
      <xdr:col>5</xdr:col>
      <xdr:colOff>762000</xdr:colOff>
      <xdr:row>4</xdr:row>
      <xdr:rowOff>254000</xdr:rowOff>
    </xdr:from>
    <xdr:to>
      <xdr:col>5</xdr:col>
      <xdr:colOff>2328808</xdr:colOff>
      <xdr:row>4</xdr:row>
      <xdr:rowOff>1455016</xdr:rowOff>
    </xdr:to>
    <xdr:pic>
      <xdr:nvPicPr>
        <xdr:cNvPr id="3" name="Imagen 2">
          <a:extLst>
            <a:ext uri="{FF2B5EF4-FFF2-40B4-BE49-F238E27FC236}">
              <a16:creationId xmlns:a16="http://schemas.microsoft.com/office/drawing/2014/main" id="{F71D030D-B012-4392-8FEF-606E3939F55F}"/>
            </a:ext>
          </a:extLst>
        </xdr:cNvPr>
        <xdr:cNvPicPr>
          <a:picLocks noChangeAspect="1"/>
        </xdr:cNvPicPr>
      </xdr:nvPicPr>
      <xdr:blipFill>
        <a:blip xmlns:r="http://schemas.openxmlformats.org/officeDocument/2006/relationships" r:embed="rId2"/>
        <a:stretch>
          <a:fillRect/>
        </a:stretch>
      </xdr:blipFill>
      <xdr:spPr>
        <a:xfrm>
          <a:off x="9188450" y="13315950"/>
          <a:ext cx="1566808" cy="1201016"/>
        </a:xfrm>
        <a:prstGeom prst="rect">
          <a:avLst/>
        </a:prstGeom>
      </xdr:spPr>
    </xdr:pic>
    <xdr:clientData/>
  </xdr:twoCellAnchor>
  <xdr:twoCellAnchor editAs="oneCell">
    <xdr:from>
      <xdr:col>5</xdr:col>
      <xdr:colOff>571499</xdr:colOff>
      <xdr:row>5</xdr:row>
      <xdr:rowOff>841375</xdr:rowOff>
    </xdr:from>
    <xdr:to>
      <xdr:col>5</xdr:col>
      <xdr:colOff>2535196</xdr:colOff>
      <xdr:row>5</xdr:row>
      <xdr:rowOff>3381375</xdr:rowOff>
    </xdr:to>
    <xdr:pic>
      <xdr:nvPicPr>
        <xdr:cNvPr id="4" name="Imagen 3">
          <a:extLst>
            <a:ext uri="{FF2B5EF4-FFF2-40B4-BE49-F238E27FC236}">
              <a16:creationId xmlns:a16="http://schemas.microsoft.com/office/drawing/2014/main" id="{4FBE906B-C37F-47C3-B458-73A53C3ACE16}"/>
            </a:ext>
          </a:extLst>
        </xdr:cNvPr>
        <xdr:cNvPicPr>
          <a:picLocks noChangeAspect="1"/>
        </xdr:cNvPicPr>
      </xdr:nvPicPr>
      <xdr:blipFill>
        <a:blip xmlns:r="http://schemas.openxmlformats.org/officeDocument/2006/relationships" r:embed="rId3"/>
        <a:stretch>
          <a:fillRect/>
        </a:stretch>
      </xdr:blipFill>
      <xdr:spPr>
        <a:xfrm>
          <a:off x="8997949" y="15471775"/>
          <a:ext cx="1963697" cy="2540000"/>
        </a:xfrm>
        <a:prstGeom prst="rect">
          <a:avLst/>
        </a:prstGeom>
      </xdr:spPr>
    </xdr:pic>
    <xdr:clientData/>
  </xdr:twoCellAnchor>
  <xdr:twoCellAnchor editAs="oneCell">
    <xdr:from>
      <xdr:col>5</xdr:col>
      <xdr:colOff>587374</xdr:colOff>
      <xdr:row>6</xdr:row>
      <xdr:rowOff>612690</xdr:rowOff>
    </xdr:from>
    <xdr:to>
      <xdr:col>5</xdr:col>
      <xdr:colOff>2508249</xdr:colOff>
      <xdr:row>6</xdr:row>
      <xdr:rowOff>2952041</xdr:rowOff>
    </xdr:to>
    <xdr:pic>
      <xdr:nvPicPr>
        <xdr:cNvPr id="5" name="Imagen 4">
          <a:extLst>
            <a:ext uri="{FF2B5EF4-FFF2-40B4-BE49-F238E27FC236}">
              <a16:creationId xmlns:a16="http://schemas.microsoft.com/office/drawing/2014/main" id="{580B6015-62FD-4F62-AB4F-7007A14E4CF2}"/>
            </a:ext>
          </a:extLst>
        </xdr:cNvPr>
        <xdr:cNvPicPr>
          <a:picLocks noChangeAspect="1"/>
        </xdr:cNvPicPr>
      </xdr:nvPicPr>
      <xdr:blipFill>
        <a:blip xmlns:r="http://schemas.openxmlformats.org/officeDocument/2006/relationships" r:embed="rId4"/>
        <a:stretch>
          <a:fillRect/>
        </a:stretch>
      </xdr:blipFill>
      <xdr:spPr>
        <a:xfrm>
          <a:off x="9013824" y="19605540"/>
          <a:ext cx="1920875" cy="2339351"/>
        </a:xfrm>
        <a:prstGeom prst="rect">
          <a:avLst/>
        </a:prstGeom>
      </xdr:spPr>
    </xdr:pic>
    <xdr:clientData/>
  </xdr:twoCellAnchor>
  <xdr:twoCellAnchor editAs="oneCell">
    <xdr:from>
      <xdr:col>5</xdr:col>
      <xdr:colOff>492125</xdr:colOff>
      <xdr:row>7</xdr:row>
      <xdr:rowOff>190499</xdr:rowOff>
    </xdr:from>
    <xdr:to>
      <xdr:col>5</xdr:col>
      <xdr:colOff>2397125</xdr:colOff>
      <xdr:row>7</xdr:row>
      <xdr:rowOff>1759322</xdr:rowOff>
    </xdr:to>
    <xdr:pic>
      <xdr:nvPicPr>
        <xdr:cNvPr id="6" name="Imagen 5">
          <a:extLst>
            <a:ext uri="{FF2B5EF4-FFF2-40B4-BE49-F238E27FC236}">
              <a16:creationId xmlns:a16="http://schemas.microsoft.com/office/drawing/2014/main" id="{FC7E5987-673C-4FA1-9C9F-F9163B57B583}"/>
            </a:ext>
          </a:extLst>
        </xdr:cNvPr>
        <xdr:cNvPicPr>
          <a:picLocks noChangeAspect="1"/>
        </xdr:cNvPicPr>
      </xdr:nvPicPr>
      <xdr:blipFill>
        <a:blip xmlns:r="http://schemas.openxmlformats.org/officeDocument/2006/relationships" r:embed="rId5"/>
        <a:stretch>
          <a:fillRect/>
        </a:stretch>
      </xdr:blipFill>
      <xdr:spPr>
        <a:xfrm>
          <a:off x="8921750" y="15287624"/>
          <a:ext cx="1905000" cy="1568823"/>
        </a:xfrm>
        <a:prstGeom prst="rect">
          <a:avLst/>
        </a:prstGeom>
      </xdr:spPr>
    </xdr:pic>
    <xdr:clientData/>
  </xdr:twoCellAnchor>
  <xdr:twoCellAnchor editAs="oneCell">
    <xdr:from>
      <xdr:col>5</xdr:col>
      <xdr:colOff>428624</xdr:colOff>
      <xdr:row>8</xdr:row>
      <xdr:rowOff>142875</xdr:rowOff>
    </xdr:from>
    <xdr:to>
      <xdr:col>5</xdr:col>
      <xdr:colOff>2510617</xdr:colOff>
      <xdr:row>8</xdr:row>
      <xdr:rowOff>1301750</xdr:rowOff>
    </xdr:to>
    <xdr:pic>
      <xdr:nvPicPr>
        <xdr:cNvPr id="7" name="Imagen 6">
          <a:extLst>
            <a:ext uri="{FF2B5EF4-FFF2-40B4-BE49-F238E27FC236}">
              <a16:creationId xmlns:a16="http://schemas.microsoft.com/office/drawing/2014/main" id="{D33A58C1-A14E-4EEE-AA0A-D0FF9B798E17}"/>
            </a:ext>
          </a:extLst>
        </xdr:cNvPr>
        <xdr:cNvPicPr>
          <a:picLocks noChangeAspect="1"/>
        </xdr:cNvPicPr>
      </xdr:nvPicPr>
      <xdr:blipFill>
        <a:blip xmlns:r="http://schemas.openxmlformats.org/officeDocument/2006/relationships" r:embed="rId6"/>
        <a:stretch>
          <a:fillRect/>
        </a:stretch>
      </xdr:blipFill>
      <xdr:spPr>
        <a:xfrm>
          <a:off x="8855074" y="24393525"/>
          <a:ext cx="2081993" cy="1158875"/>
        </a:xfrm>
        <a:prstGeom prst="rect">
          <a:avLst/>
        </a:prstGeom>
      </xdr:spPr>
    </xdr:pic>
    <xdr:clientData/>
  </xdr:twoCellAnchor>
  <xdr:twoCellAnchor editAs="oneCell">
    <xdr:from>
      <xdr:col>5</xdr:col>
      <xdr:colOff>809625</xdr:colOff>
      <xdr:row>9</xdr:row>
      <xdr:rowOff>127000</xdr:rowOff>
    </xdr:from>
    <xdr:to>
      <xdr:col>5</xdr:col>
      <xdr:colOff>2428875</xdr:colOff>
      <xdr:row>9</xdr:row>
      <xdr:rowOff>1717755</xdr:rowOff>
    </xdr:to>
    <xdr:pic>
      <xdr:nvPicPr>
        <xdr:cNvPr id="8" name="Imagen 7">
          <a:extLst>
            <a:ext uri="{FF2B5EF4-FFF2-40B4-BE49-F238E27FC236}">
              <a16:creationId xmlns:a16="http://schemas.microsoft.com/office/drawing/2014/main" id="{F9EB7105-6D53-4FD6-A885-F761110BE575}"/>
            </a:ext>
          </a:extLst>
        </xdr:cNvPr>
        <xdr:cNvPicPr>
          <a:picLocks noChangeAspect="1"/>
        </xdr:cNvPicPr>
      </xdr:nvPicPr>
      <xdr:blipFill>
        <a:blip xmlns:r="http://schemas.openxmlformats.org/officeDocument/2006/relationships" r:embed="rId7"/>
        <a:stretch>
          <a:fillRect/>
        </a:stretch>
      </xdr:blipFill>
      <xdr:spPr>
        <a:xfrm>
          <a:off x="9236075" y="25857200"/>
          <a:ext cx="1619250" cy="1590755"/>
        </a:xfrm>
        <a:prstGeom prst="rect">
          <a:avLst/>
        </a:prstGeom>
      </xdr:spPr>
    </xdr:pic>
    <xdr:clientData/>
  </xdr:twoCellAnchor>
  <xdr:twoCellAnchor editAs="oneCell">
    <xdr:from>
      <xdr:col>5</xdr:col>
      <xdr:colOff>793750</xdr:colOff>
      <xdr:row>10</xdr:row>
      <xdr:rowOff>206375</xdr:rowOff>
    </xdr:from>
    <xdr:to>
      <xdr:col>5</xdr:col>
      <xdr:colOff>2453640</xdr:colOff>
      <xdr:row>10</xdr:row>
      <xdr:rowOff>1456690</xdr:rowOff>
    </xdr:to>
    <xdr:pic>
      <xdr:nvPicPr>
        <xdr:cNvPr id="9" name="Imagen 8">
          <a:extLst>
            <a:ext uri="{FF2B5EF4-FFF2-40B4-BE49-F238E27FC236}">
              <a16:creationId xmlns:a16="http://schemas.microsoft.com/office/drawing/2014/main" id="{009F4BDF-BC1B-44E3-AE79-8CE17028A2BF}"/>
            </a:ext>
          </a:extLst>
        </xdr:cNvPr>
        <xdr:cNvPicPr>
          <a:picLocks noChangeAspect="1"/>
        </xdr:cNvPicPr>
      </xdr:nvPicPr>
      <xdr:blipFill rotWithShape="1">
        <a:blip xmlns:r="http://schemas.openxmlformats.org/officeDocument/2006/relationships" r:embed="rId8"/>
        <a:srcRect t="24666"/>
        <a:stretch/>
      </xdr:blipFill>
      <xdr:spPr bwMode="auto">
        <a:xfrm>
          <a:off x="9220200" y="27803475"/>
          <a:ext cx="1659890" cy="12503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269874</xdr:colOff>
      <xdr:row>11</xdr:row>
      <xdr:rowOff>142875</xdr:rowOff>
    </xdr:from>
    <xdr:to>
      <xdr:col>5</xdr:col>
      <xdr:colOff>2736521</xdr:colOff>
      <xdr:row>11</xdr:row>
      <xdr:rowOff>2428875</xdr:rowOff>
    </xdr:to>
    <xdr:pic>
      <xdr:nvPicPr>
        <xdr:cNvPr id="10" name="Imagen 9">
          <a:extLst>
            <a:ext uri="{FF2B5EF4-FFF2-40B4-BE49-F238E27FC236}">
              <a16:creationId xmlns:a16="http://schemas.microsoft.com/office/drawing/2014/main" id="{FA76E979-248F-4FDA-A69E-4CB88CC89821}"/>
            </a:ext>
          </a:extLst>
        </xdr:cNvPr>
        <xdr:cNvPicPr>
          <a:picLocks noChangeAspect="1"/>
        </xdr:cNvPicPr>
      </xdr:nvPicPr>
      <xdr:blipFill>
        <a:blip xmlns:r="http://schemas.openxmlformats.org/officeDocument/2006/relationships" r:embed="rId9"/>
        <a:stretch>
          <a:fillRect/>
        </a:stretch>
      </xdr:blipFill>
      <xdr:spPr>
        <a:xfrm>
          <a:off x="8696324" y="29289375"/>
          <a:ext cx="2466647" cy="2286000"/>
        </a:xfrm>
        <a:prstGeom prst="rect">
          <a:avLst/>
        </a:prstGeom>
      </xdr:spPr>
    </xdr:pic>
    <xdr:clientData/>
  </xdr:twoCellAnchor>
  <xdr:twoCellAnchor editAs="oneCell">
    <xdr:from>
      <xdr:col>5</xdr:col>
      <xdr:colOff>444499</xdr:colOff>
      <xdr:row>12</xdr:row>
      <xdr:rowOff>1079501</xdr:rowOff>
    </xdr:from>
    <xdr:to>
      <xdr:col>5</xdr:col>
      <xdr:colOff>2540859</xdr:colOff>
      <xdr:row>12</xdr:row>
      <xdr:rowOff>2936875</xdr:rowOff>
    </xdr:to>
    <xdr:pic>
      <xdr:nvPicPr>
        <xdr:cNvPr id="11" name="Imagen 10">
          <a:extLst>
            <a:ext uri="{FF2B5EF4-FFF2-40B4-BE49-F238E27FC236}">
              <a16:creationId xmlns:a16="http://schemas.microsoft.com/office/drawing/2014/main" id="{A5DC1BE8-2AAD-4B3A-B644-A0D3C4A72CBE}"/>
            </a:ext>
          </a:extLst>
        </xdr:cNvPr>
        <xdr:cNvPicPr>
          <a:picLocks noChangeAspect="1"/>
        </xdr:cNvPicPr>
      </xdr:nvPicPr>
      <xdr:blipFill>
        <a:blip xmlns:r="http://schemas.openxmlformats.org/officeDocument/2006/relationships" r:embed="rId10"/>
        <a:stretch>
          <a:fillRect/>
        </a:stretch>
      </xdr:blipFill>
      <xdr:spPr>
        <a:xfrm>
          <a:off x="8870949" y="32810451"/>
          <a:ext cx="2096360" cy="1857374"/>
        </a:xfrm>
        <a:prstGeom prst="rect">
          <a:avLst/>
        </a:prstGeom>
      </xdr:spPr>
    </xdr:pic>
    <xdr:clientData/>
  </xdr:twoCellAnchor>
  <xdr:twoCellAnchor editAs="oneCell">
    <xdr:from>
      <xdr:col>5</xdr:col>
      <xdr:colOff>396875</xdr:colOff>
      <xdr:row>13</xdr:row>
      <xdr:rowOff>1619250</xdr:rowOff>
    </xdr:from>
    <xdr:to>
      <xdr:col>5</xdr:col>
      <xdr:colOff>2828868</xdr:colOff>
      <xdr:row>13</xdr:row>
      <xdr:rowOff>3079750</xdr:rowOff>
    </xdr:to>
    <xdr:pic>
      <xdr:nvPicPr>
        <xdr:cNvPr id="12" name="Imagen 11">
          <a:extLst>
            <a:ext uri="{FF2B5EF4-FFF2-40B4-BE49-F238E27FC236}">
              <a16:creationId xmlns:a16="http://schemas.microsoft.com/office/drawing/2014/main" id="{26774615-F427-43FE-B570-3E4090421CF6}"/>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8823325" y="37528500"/>
          <a:ext cx="2431993" cy="1460500"/>
        </a:xfrm>
        <a:prstGeom prst="rect">
          <a:avLst/>
        </a:prstGeom>
      </xdr:spPr>
    </xdr:pic>
    <xdr:clientData/>
  </xdr:twoCellAnchor>
  <xdr:twoCellAnchor editAs="oneCell">
    <xdr:from>
      <xdr:col>5</xdr:col>
      <xdr:colOff>714375</xdr:colOff>
      <xdr:row>15</xdr:row>
      <xdr:rowOff>254000</xdr:rowOff>
    </xdr:from>
    <xdr:to>
      <xdr:col>5</xdr:col>
      <xdr:colOff>2421255</xdr:colOff>
      <xdr:row>15</xdr:row>
      <xdr:rowOff>1720850</xdr:rowOff>
    </xdr:to>
    <xdr:pic>
      <xdr:nvPicPr>
        <xdr:cNvPr id="13" name="Imagen 12">
          <a:extLst>
            <a:ext uri="{FF2B5EF4-FFF2-40B4-BE49-F238E27FC236}">
              <a16:creationId xmlns:a16="http://schemas.microsoft.com/office/drawing/2014/main" id="{EDC4B789-2851-4B6D-BEF5-3CB8F641567D}"/>
            </a:ext>
          </a:extLst>
        </xdr:cNvPr>
        <xdr:cNvPicPr>
          <a:picLocks noChangeAspect="1"/>
        </xdr:cNvPicPr>
      </xdr:nvPicPr>
      <xdr:blipFill rotWithShape="1">
        <a:blip xmlns:r="http://schemas.openxmlformats.org/officeDocument/2006/relationships" r:embed="rId12"/>
        <a:srcRect t="17178" b="15281"/>
        <a:stretch/>
      </xdr:blipFill>
      <xdr:spPr bwMode="auto">
        <a:xfrm>
          <a:off x="9140825" y="45612050"/>
          <a:ext cx="1706880" cy="14668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5</xdr:col>
      <xdr:colOff>317500</xdr:colOff>
      <xdr:row>16</xdr:row>
      <xdr:rowOff>299825</xdr:rowOff>
    </xdr:from>
    <xdr:to>
      <xdr:col>5</xdr:col>
      <xdr:colOff>2635250</xdr:colOff>
      <xdr:row>16</xdr:row>
      <xdr:rowOff>2319655</xdr:rowOff>
    </xdr:to>
    <xdr:pic>
      <xdr:nvPicPr>
        <xdr:cNvPr id="14" name="Imagen 13">
          <a:extLst>
            <a:ext uri="{FF2B5EF4-FFF2-40B4-BE49-F238E27FC236}">
              <a16:creationId xmlns:a16="http://schemas.microsoft.com/office/drawing/2014/main" id="{2A7F6B99-D3AF-4756-A2AF-F878CA4C3F92}"/>
            </a:ext>
          </a:extLst>
        </xdr:cNvPr>
        <xdr:cNvPicPr>
          <a:picLocks noChangeAspect="1"/>
        </xdr:cNvPicPr>
      </xdr:nvPicPr>
      <xdr:blipFill>
        <a:blip xmlns:r="http://schemas.openxmlformats.org/officeDocument/2006/relationships" r:embed="rId13"/>
        <a:stretch>
          <a:fillRect/>
        </a:stretch>
      </xdr:blipFill>
      <xdr:spPr>
        <a:xfrm>
          <a:off x="8743950" y="47537475"/>
          <a:ext cx="2317750" cy="2019830"/>
        </a:xfrm>
        <a:prstGeom prst="rect">
          <a:avLst/>
        </a:prstGeom>
      </xdr:spPr>
    </xdr:pic>
    <xdr:clientData/>
  </xdr:twoCellAnchor>
  <xdr:twoCellAnchor editAs="oneCell">
    <xdr:from>
      <xdr:col>5</xdr:col>
      <xdr:colOff>190499</xdr:colOff>
      <xdr:row>17</xdr:row>
      <xdr:rowOff>1250969</xdr:rowOff>
    </xdr:from>
    <xdr:to>
      <xdr:col>5</xdr:col>
      <xdr:colOff>2778124</xdr:colOff>
      <xdr:row>17</xdr:row>
      <xdr:rowOff>3208021</xdr:rowOff>
    </xdr:to>
    <xdr:pic>
      <xdr:nvPicPr>
        <xdr:cNvPr id="15" name="Imagen 14">
          <a:extLst>
            <a:ext uri="{FF2B5EF4-FFF2-40B4-BE49-F238E27FC236}">
              <a16:creationId xmlns:a16="http://schemas.microsoft.com/office/drawing/2014/main" id="{214091D4-010A-45AC-AFB4-22D491080D66}"/>
            </a:ext>
          </a:extLst>
        </xdr:cNvPr>
        <xdr:cNvPicPr>
          <a:picLocks noChangeAspect="1"/>
        </xdr:cNvPicPr>
      </xdr:nvPicPr>
      <xdr:blipFill>
        <a:blip xmlns:r="http://schemas.openxmlformats.org/officeDocument/2006/relationships" r:embed="rId14"/>
        <a:stretch>
          <a:fillRect/>
        </a:stretch>
      </xdr:blipFill>
      <xdr:spPr>
        <a:xfrm>
          <a:off x="8616949" y="53689269"/>
          <a:ext cx="2587625" cy="1957052"/>
        </a:xfrm>
        <a:prstGeom prst="rect">
          <a:avLst/>
        </a:prstGeom>
      </xdr:spPr>
    </xdr:pic>
    <xdr:clientData/>
  </xdr:twoCellAnchor>
  <xdr:twoCellAnchor editAs="oneCell">
    <xdr:from>
      <xdr:col>5</xdr:col>
      <xdr:colOff>809625</xdr:colOff>
      <xdr:row>18</xdr:row>
      <xdr:rowOff>159931</xdr:rowOff>
    </xdr:from>
    <xdr:to>
      <xdr:col>5</xdr:col>
      <xdr:colOff>2809875</xdr:colOff>
      <xdr:row>18</xdr:row>
      <xdr:rowOff>2468771</xdr:rowOff>
    </xdr:to>
    <xdr:pic>
      <xdr:nvPicPr>
        <xdr:cNvPr id="16" name="Imagen 15">
          <a:extLst>
            <a:ext uri="{FF2B5EF4-FFF2-40B4-BE49-F238E27FC236}">
              <a16:creationId xmlns:a16="http://schemas.microsoft.com/office/drawing/2014/main" id="{E1A51B93-8DFC-48FE-947A-18F40C3D5547}"/>
            </a:ext>
          </a:extLst>
        </xdr:cNvPr>
        <xdr:cNvPicPr>
          <a:picLocks noChangeAspect="1"/>
        </xdr:cNvPicPr>
      </xdr:nvPicPr>
      <xdr:blipFill>
        <a:blip xmlns:r="http://schemas.openxmlformats.org/officeDocument/2006/relationships" r:embed="rId15"/>
        <a:stretch>
          <a:fillRect/>
        </a:stretch>
      </xdr:blipFill>
      <xdr:spPr>
        <a:xfrm>
          <a:off x="9236075" y="57284531"/>
          <a:ext cx="2000250" cy="2308840"/>
        </a:xfrm>
        <a:prstGeom prst="rect">
          <a:avLst/>
        </a:prstGeom>
      </xdr:spPr>
    </xdr:pic>
    <xdr:clientData/>
  </xdr:twoCellAnchor>
  <xdr:twoCellAnchor editAs="oneCell">
    <xdr:from>
      <xdr:col>5</xdr:col>
      <xdr:colOff>55003</xdr:colOff>
      <xdr:row>18</xdr:row>
      <xdr:rowOff>2555875</xdr:rowOff>
    </xdr:from>
    <xdr:to>
      <xdr:col>5</xdr:col>
      <xdr:colOff>2398903</xdr:colOff>
      <xdr:row>18</xdr:row>
      <xdr:rowOff>4955540</xdr:rowOff>
    </xdr:to>
    <xdr:pic>
      <xdr:nvPicPr>
        <xdr:cNvPr id="17" name="Imagen 16">
          <a:extLst>
            <a:ext uri="{FF2B5EF4-FFF2-40B4-BE49-F238E27FC236}">
              <a16:creationId xmlns:a16="http://schemas.microsoft.com/office/drawing/2014/main" id="{7FCA5E63-3408-4DB1-84CF-0A11E4D815F4}"/>
            </a:ext>
          </a:extLst>
        </xdr:cNvPr>
        <xdr:cNvPicPr>
          <a:picLocks noChangeAspect="1"/>
        </xdr:cNvPicPr>
      </xdr:nvPicPr>
      <xdr:blipFill>
        <a:blip xmlns:r="http://schemas.openxmlformats.org/officeDocument/2006/relationships" r:embed="rId16"/>
        <a:stretch>
          <a:fillRect/>
        </a:stretch>
      </xdr:blipFill>
      <xdr:spPr>
        <a:xfrm>
          <a:off x="8481453" y="59680475"/>
          <a:ext cx="2343900" cy="2399665"/>
        </a:xfrm>
        <a:prstGeom prst="rect">
          <a:avLst/>
        </a:prstGeom>
      </xdr:spPr>
    </xdr:pic>
    <xdr:clientData/>
  </xdr:twoCellAnchor>
  <xdr:twoCellAnchor editAs="oneCell">
    <xdr:from>
      <xdr:col>5</xdr:col>
      <xdr:colOff>730250</xdr:colOff>
      <xdr:row>19</xdr:row>
      <xdr:rowOff>262276</xdr:rowOff>
    </xdr:from>
    <xdr:to>
      <xdr:col>5</xdr:col>
      <xdr:colOff>2310765</xdr:colOff>
      <xdr:row>19</xdr:row>
      <xdr:rowOff>1550669</xdr:rowOff>
    </xdr:to>
    <xdr:pic>
      <xdr:nvPicPr>
        <xdr:cNvPr id="18" name="Imagen 17">
          <a:extLst>
            <a:ext uri="{FF2B5EF4-FFF2-40B4-BE49-F238E27FC236}">
              <a16:creationId xmlns:a16="http://schemas.microsoft.com/office/drawing/2014/main" id="{CE19C91B-5782-4039-B7A9-A7943440293B}"/>
            </a:ext>
          </a:extLst>
        </xdr:cNvPr>
        <xdr:cNvPicPr>
          <a:picLocks noChangeAspect="1"/>
        </xdr:cNvPicPr>
      </xdr:nvPicPr>
      <xdr:blipFill>
        <a:blip xmlns:r="http://schemas.openxmlformats.org/officeDocument/2006/relationships" r:embed="rId17"/>
        <a:stretch>
          <a:fillRect/>
        </a:stretch>
      </xdr:blipFill>
      <xdr:spPr>
        <a:xfrm>
          <a:off x="9156700" y="62587526"/>
          <a:ext cx="1580515" cy="1288393"/>
        </a:xfrm>
        <a:prstGeom prst="rect">
          <a:avLst/>
        </a:prstGeom>
      </xdr:spPr>
    </xdr:pic>
    <xdr:clientData/>
  </xdr:twoCellAnchor>
  <xdr:twoCellAnchor editAs="oneCell">
    <xdr:from>
      <xdr:col>5</xdr:col>
      <xdr:colOff>349249</xdr:colOff>
      <xdr:row>20</xdr:row>
      <xdr:rowOff>539750</xdr:rowOff>
    </xdr:from>
    <xdr:to>
      <xdr:col>5</xdr:col>
      <xdr:colOff>2494266</xdr:colOff>
      <xdr:row>20</xdr:row>
      <xdr:rowOff>2098675</xdr:rowOff>
    </xdr:to>
    <xdr:pic>
      <xdr:nvPicPr>
        <xdr:cNvPr id="19" name="Imagen 18">
          <a:extLst>
            <a:ext uri="{FF2B5EF4-FFF2-40B4-BE49-F238E27FC236}">
              <a16:creationId xmlns:a16="http://schemas.microsoft.com/office/drawing/2014/main" id="{3CAF2872-78FE-4CBE-9EB4-53220E361850}"/>
            </a:ext>
          </a:extLst>
        </xdr:cNvPr>
        <xdr:cNvPicPr>
          <a:picLocks noChangeAspect="1"/>
        </xdr:cNvPicPr>
      </xdr:nvPicPr>
      <xdr:blipFill>
        <a:blip xmlns:r="http://schemas.openxmlformats.org/officeDocument/2006/relationships" r:embed="rId18"/>
        <a:stretch>
          <a:fillRect/>
        </a:stretch>
      </xdr:blipFill>
      <xdr:spPr>
        <a:xfrm>
          <a:off x="8775699" y="64681100"/>
          <a:ext cx="2145017" cy="15589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3190B-A764-40CB-8777-6430D44DACA4}">
  <dimension ref="A1:N120"/>
  <sheetViews>
    <sheetView tabSelected="1" view="pageBreakPreview" topLeftCell="A86" zoomScale="66" zoomScaleNormal="100" zoomScaleSheetLayoutView="66" workbookViewId="0">
      <selection activeCell="H84" sqref="H84"/>
    </sheetView>
  </sheetViews>
  <sheetFormatPr baseColWidth="10" defaultRowHeight="14.5" x14ac:dyDescent="0.35"/>
  <cols>
    <col min="1" max="1" width="7.36328125" customWidth="1"/>
    <col min="2" max="2" width="16.90625" customWidth="1"/>
    <col min="3" max="3" width="25.81640625" customWidth="1"/>
    <col min="4" max="4" width="19.1796875" customWidth="1"/>
    <col min="5" max="5" width="7.6328125" customWidth="1"/>
    <col min="6" max="6" width="8.6328125" customWidth="1"/>
    <col min="7" max="7" width="10.26953125" customWidth="1"/>
    <col min="8" max="9" width="15.26953125" customWidth="1"/>
    <col min="10" max="10" width="15.1796875" customWidth="1"/>
    <col min="11" max="11" width="15.26953125" customWidth="1"/>
    <col min="12" max="12" width="13.08984375" customWidth="1"/>
  </cols>
  <sheetData>
    <row r="1" spans="1:13" ht="43.5" customHeight="1" x14ac:dyDescent="0.35">
      <c r="A1" s="100" t="s">
        <v>42</v>
      </c>
      <c r="B1" s="100" t="s">
        <v>41</v>
      </c>
      <c r="C1" s="250" t="s">
        <v>45</v>
      </c>
      <c r="D1" s="250"/>
      <c r="E1" s="100" t="s">
        <v>43</v>
      </c>
      <c r="F1" s="100" t="s">
        <v>44</v>
      </c>
      <c r="G1" s="267">
        <v>8189136</v>
      </c>
      <c r="H1" s="267"/>
      <c r="I1" s="100" t="s">
        <v>61</v>
      </c>
    </row>
    <row r="2" spans="1:13" ht="15" thickBot="1" x14ac:dyDescent="0.4"/>
    <row r="3" spans="1:13" ht="15" customHeight="1" thickBot="1" x14ac:dyDescent="0.4">
      <c r="A3" s="251" t="s">
        <v>46</v>
      </c>
      <c r="B3" s="252"/>
      <c r="C3" s="252"/>
      <c r="D3" s="252"/>
      <c r="E3" s="253"/>
      <c r="F3" s="251" t="s">
        <v>47</v>
      </c>
      <c r="G3" s="252"/>
      <c r="H3" s="252"/>
      <c r="I3" s="252"/>
      <c r="J3" s="252"/>
      <c r="K3" s="252"/>
      <c r="L3" s="252"/>
      <c r="M3" s="253"/>
    </row>
    <row r="4" spans="1:13" ht="18" customHeight="1" thickBot="1" x14ac:dyDescent="0.4">
      <c r="A4" s="251" t="s">
        <v>41</v>
      </c>
      <c r="B4" s="252"/>
      <c r="C4" s="252"/>
      <c r="D4" s="252"/>
      <c r="E4" s="253"/>
      <c r="F4" s="251" t="s">
        <v>45</v>
      </c>
      <c r="G4" s="252"/>
      <c r="H4" s="252"/>
      <c r="I4" s="252"/>
      <c r="J4" s="252"/>
      <c r="K4" s="252"/>
      <c r="L4" s="252"/>
      <c r="M4" s="253"/>
    </row>
    <row r="5" spans="1:13" ht="36.5" thickBot="1" x14ac:dyDescent="0.4">
      <c r="A5" s="196" t="s">
        <v>3</v>
      </c>
      <c r="B5" s="254" t="s">
        <v>4</v>
      </c>
      <c r="C5" s="255"/>
      <c r="D5" s="95" t="s">
        <v>49</v>
      </c>
      <c r="E5" s="99" t="s">
        <v>0</v>
      </c>
      <c r="F5" s="95" t="s">
        <v>48</v>
      </c>
      <c r="G5" s="95" t="s">
        <v>5</v>
      </c>
      <c r="H5" s="95" t="s">
        <v>50</v>
      </c>
      <c r="I5" s="171" t="s">
        <v>7</v>
      </c>
      <c r="J5" s="172" t="s">
        <v>86</v>
      </c>
      <c r="K5" s="173" t="s">
        <v>88</v>
      </c>
      <c r="L5" s="173" t="s">
        <v>87</v>
      </c>
      <c r="M5" s="174" t="s">
        <v>89</v>
      </c>
    </row>
    <row r="6" spans="1:13" ht="221.5" customHeight="1" x14ac:dyDescent="0.35">
      <c r="A6" s="98">
        <v>1</v>
      </c>
      <c r="B6" s="256" t="s">
        <v>51</v>
      </c>
      <c r="C6" s="256"/>
      <c r="D6" s="182"/>
      <c r="E6" s="165" t="s">
        <v>9</v>
      </c>
      <c r="F6" s="165">
        <v>0</v>
      </c>
      <c r="G6" s="165">
        <v>20</v>
      </c>
      <c r="H6" s="178">
        <v>1216657</v>
      </c>
      <c r="I6" s="178">
        <f>G6*H6</f>
        <v>24333140</v>
      </c>
      <c r="J6" s="168">
        <v>1</v>
      </c>
      <c r="K6" s="181">
        <f>H6*J6</f>
        <v>1216657</v>
      </c>
      <c r="L6" s="170">
        <f>J6/G6</f>
        <v>0.05</v>
      </c>
      <c r="M6" s="170">
        <f>19/G6</f>
        <v>0.95</v>
      </c>
    </row>
    <row r="7" spans="1:13" ht="100.5" customHeight="1" x14ac:dyDescent="0.35">
      <c r="A7" s="98">
        <v>2</v>
      </c>
      <c r="B7" s="249" t="s">
        <v>52</v>
      </c>
      <c r="C7" s="249"/>
      <c r="D7" s="27"/>
      <c r="E7" s="98" t="s">
        <v>9</v>
      </c>
      <c r="F7" s="98">
        <v>0</v>
      </c>
      <c r="G7" s="98">
        <v>1</v>
      </c>
      <c r="H7" s="142">
        <v>6845475</v>
      </c>
      <c r="I7" s="142">
        <f>G7*H7</f>
        <v>6845475</v>
      </c>
      <c r="J7" s="151">
        <v>1</v>
      </c>
      <c r="K7" s="145">
        <f>I7*J7</f>
        <v>6845475</v>
      </c>
      <c r="L7" s="157">
        <f>J7/G7</f>
        <v>1</v>
      </c>
      <c r="M7" s="158">
        <v>0</v>
      </c>
    </row>
    <row r="8" spans="1:13" x14ac:dyDescent="0.35">
      <c r="A8" s="247" t="s">
        <v>7</v>
      </c>
      <c r="B8" s="247"/>
      <c r="C8" s="247"/>
      <c r="D8" s="247"/>
      <c r="I8" s="153">
        <f>SUM(I6:I7)</f>
        <v>31178615</v>
      </c>
      <c r="J8" s="154"/>
      <c r="K8" s="153">
        <f>SUM(K6:K7)</f>
        <v>8062132</v>
      </c>
    </row>
    <row r="9" spans="1:13" x14ac:dyDescent="0.35">
      <c r="A9" s="247" t="s">
        <v>91</v>
      </c>
      <c r="B9" s="247"/>
      <c r="C9" s="247"/>
      <c r="D9" s="247"/>
      <c r="K9" s="195">
        <f>G1</f>
        <v>8189136</v>
      </c>
    </row>
    <row r="10" spans="1:13" x14ac:dyDescent="0.35">
      <c r="A10" s="247" t="s">
        <v>90</v>
      </c>
      <c r="B10" s="247"/>
      <c r="C10" s="247"/>
      <c r="D10" s="247"/>
      <c r="K10" s="195">
        <f>K9-K8</f>
        <v>127004</v>
      </c>
    </row>
    <row r="11" spans="1:13" x14ac:dyDescent="0.35">
      <c r="B11" s="194"/>
      <c r="C11" s="194"/>
      <c r="D11" s="194"/>
      <c r="I11" s="153"/>
      <c r="J11" s="154"/>
      <c r="K11" s="153"/>
    </row>
    <row r="12" spans="1:13" ht="23" customHeight="1" x14ac:dyDescent="0.35">
      <c r="A12" s="100" t="s">
        <v>42</v>
      </c>
      <c r="B12" s="100" t="s">
        <v>41</v>
      </c>
      <c r="C12" s="250" t="s">
        <v>45</v>
      </c>
      <c r="D12" s="250"/>
      <c r="E12" s="100" t="s">
        <v>43</v>
      </c>
      <c r="F12" s="106" t="s">
        <v>53</v>
      </c>
      <c r="G12" s="267">
        <v>24011960</v>
      </c>
      <c r="H12" s="267"/>
      <c r="I12" s="100" t="s">
        <v>61</v>
      </c>
    </row>
    <row r="13" spans="1:13" ht="23" customHeight="1" thickBot="1" x14ac:dyDescent="0.4"/>
    <row r="14" spans="1:13" ht="23" customHeight="1" thickBot="1" x14ac:dyDescent="0.4">
      <c r="A14" s="251" t="s">
        <v>46</v>
      </c>
      <c r="B14" s="252"/>
      <c r="C14" s="252"/>
      <c r="D14" s="252"/>
      <c r="E14" s="253"/>
      <c r="F14" s="251" t="s">
        <v>47</v>
      </c>
      <c r="G14" s="252"/>
      <c r="H14" s="252"/>
      <c r="I14" s="252"/>
      <c r="J14" s="252"/>
      <c r="K14" s="252"/>
      <c r="L14" s="252"/>
      <c r="M14" s="253"/>
    </row>
    <row r="15" spans="1:13" ht="23" customHeight="1" thickBot="1" x14ac:dyDescent="0.4">
      <c r="A15" s="251" t="s">
        <v>41</v>
      </c>
      <c r="B15" s="252"/>
      <c r="C15" s="252"/>
      <c r="D15" s="252"/>
      <c r="E15" s="253"/>
      <c r="F15" s="251" t="s">
        <v>45</v>
      </c>
      <c r="G15" s="252"/>
      <c r="H15" s="252"/>
      <c r="I15" s="252"/>
      <c r="J15" s="252"/>
      <c r="K15" s="252"/>
      <c r="L15" s="252"/>
      <c r="M15" s="253"/>
    </row>
    <row r="16" spans="1:13" ht="42" customHeight="1" thickBot="1" x14ac:dyDescent="0.4">
      <c r="A16" s="104" t="s">
        <v>3</v>
      </c>
      <c r="B16" s="254" t="s">
        <v>4</v>
      </c>
      <c r="C16" s="255"/>
      <c r="D16" s="95" t="s">
        <v>49</v>
      </c>
      <c r="E16" s="99" t="s">
        <v>0</v>
      </c>
      <c r="F16" s="95" t="s">
        <v>48</v>
      </c>
      <c r="G16" s="95" t="s">
        <v>5</v>
      </c>
      <c r="H16" s="95" t="s">
        <v>50</v>
      </c>
      <c r="I16" s="171" t="s">
        <v>7</v>
      </c>
      <c r="J16" s="172" t="s">
        <v>86</v>
      </c>
      <c r="K16" s="173" t="s">
        <v>88</v>
      </c>
      <c r="L16" s="173" t="s">
        <v>87</v>
      </c>
      <c r="M16" s="174" t="s">
        <v>89</v>
      </c>
    </row>
    <row r="17" spans="1:14" ht="96.5" customHeight="1" x14ac:dyDescent="0.35">
      <c r="A17" s="98">
        <v>1</v>
      </c>
      <c r="B17" s="256" t="s">
        <v>54</v>
      </c>
      <c r="C17" s="256"/>
      <c r="E17" s="110" t="s">
        <v>9</v>
      </c>
      <c r="F17" s="165">
        <v>0</v>
      </c>
      <c r="G17" s="110">
        <v>18</v>
      </c>
      <c r="H17" s="166">
        <v>2537888</v>
      </c>
      <c r="I17" s="167">
        <f>G17*H17</f>
        <v>45681984</v>
      </c>
      <c r="J17" s="168">
        <v>5</v>
      </c>
      <c r="K17" s="169">
        <f>H17*J17</f>
        <v>12689440</v>
      </c>
      <c r="L17" s="170">
        <f>J17/G17</f>
        <v>0.27777777777777779</v>
      </c>
      <c r="M17" s="170">
        <f>13/G17</f>
        <v>0.72222222222222221</v>
      </c>
    </row>
    <row r="18" spans="1:14" ht="86.5" customHeight="1" x14ac:dyDescent="0.35">
      <c r="A18" s="98">
        <v>2</v>
      </c>
      <c r="B18" s="249" t="s">
        <v>55</v>
      </c>
      <c r="C18" s="249"/>
      <c r="D18" s="94"/>
      <c r="E18" s="101" t="s">
        <v>9</v>
      </c>
      <c r="F18" s="98">
        <v>0</v>
      </c>
      <c r="G18" s="101">
        <v>1</v>
      </c>
      <c r="H18" s="143">
        <v>2843148</v>
      </c>
      <c r="I18" s="155">
        <f t="shared" ref="I18:I19" si="0">G18*H18</f>
        <v>2843148</v>
      </c>
      <c r="J18" s="151">
        <v>1</v>
      </c>
      <c r="K18" s="144">
        <f>H18*J18</f>
        <v>2843148</v>
      </c>
      <c r="L18" s="157">
        <f>J18/G18</f>
        <v>1</v>
      </c>
      <c r="M18" s="157">
        <v>0</v>
      </c>
    </row>
    <row r="19" spans="1:14" ht="80.5" customHeight="1" x14ac:dyDescent="0.35">
      <c r="A19" s="98">
        <v>3</v>
      </c>
      <c r="B19" s="249" t="s">
        <v>56</v>
      </c>
      <c r="C19" s="249"/>
      <c r="D19" s="94"/>
      <c r="E19" s="101" t="s">
        <v>9</v>
      </c>
      <c r="F19" s="98">
        <v>0</v>
      </c>
      <c r="G19" s="101">
        <v>3</v>
      </c>
      <c r="H19" s="143">
        <v>2739737</v>
      </c>
      <c r="I19" s="155">
        <f t="shared" si="0"/>
        <v>8219211</v>
      </c>
      <c r="J19" s="151">
        <v>3</v>
      </c>
      <c r="K19" s="144">
        <f>H19*J19</f>
        <v>8219211</v>
      </c>
      <c r="L19" s="157">
        <f>J19/G19</f>
        <v>1</v>
      </c>
      <c r="M19" s="157">
        <v>0</v>
      </c>
    </row>
    <row r="20" spans="1:14" x14ac:dyDescent="0.35">
      <c r="A20" s="247" t="s">
        <v>7</v>
      </c>
      <c r="B20" s="247"/>
      <c r="C20" s="247"/>
      <c r="D20" s="247"/>
      <c r="E20" s="146"/>
      <c r="F20" s="111"/>
      <c r="G20" s="146"/>
      <c r="H20" s="147"/>
      <c r="I20" s="159">
        <f>SUM(I17:I19)</f>
        <v>56744343</v>
      </c>
      <c r="K20" s="153">
        <f>SUM(K17:K19)</f>
        <v>23751799</v>
      </c>
    </row>
    <row r="21" spans="1:14" x14ac:dyDescent="0.35">
      <c r="A21" s="247" t="s">
        <v>91</v>
      </c>
      <c r="B21" s="247"/>
      <c r="C21" s="247"/>
      <c r="D21" s="247"/>
      <c r="E21" s="146"/>
      <c r="F21" s="111"/>
      <c r="G21" s="146"/>
      <c r="H21" s="147"/>
      <c r="I21" s="159"/>
      <c r="K21" s="153">
        <f>G12</f>
        <v>24011960</v>
      </c>
    </row>
    <row r="22" spans="1:14" x14ac:dyDescent="0.35">
      <c r="A22" s="247" t="s">
        <v>90</v>
      </c>
      <c r="B22" s="247"/>
      <c r="C22" s="247"/>
      <c r="D22" s="247"/>
      <c r="E22" s="146"/>
      <c r="F22" s="111"/>
      <c r="G22" s="146"/>
      <c r="H22" s="147"/>
      <c r="I22" s="159"/>
      <c r="K22" s="153">
        <f>K21-K20</f>
        <v>260161</v>
      </c>
    </row>
    <row r="23" spans="1:14" x14ac:dyDescent="0.35">
      <c r="A23" s="111"/>
      <c r="B23" s="112"/>
      <c r="C23" s="112"/>
      <c r="D23" s="112"/>
      <c r="E23" s="146"/>
      <c r="F23" s="111"/>
      <c r="G23" s="146"/>
      <c r="H23" s="147"/>
      <c r="I23" s="159"/>
      <c r="K23" s="152"/>
    </row>
    <row r="25" spans="1:14" ht="28" customHeight="1" x14ac:dyDescent="0.35">
      <c r="A25" s="100" t="s">
        <v>42</v>
      </c>
      <c r="B25" s="100" t="s">
        <v>41</v>
      </c>
      <c r="C25" s="250" t="s">
        <v>45</v>
      </c>
      <c r="D25" s="250"/>
      <c r="E25" s="100" t="s">
        <v>43</v>
      </c>
      <c r="F25" s="105" t="s">
        <v>63</v>
      </c>
      <c r="G25" s="267">
        <v>13394520</v>
      </c>
      <c r="H25" s="267"/>
      <c r="I25" s="100" t="s">
        <v>62</v>
      </c>
    </row>
    <row r="26" spans="1:14" ht="15" customHeight="1" thickBot="1" x14ac:dyDescent="0.4"/>
    <row r="27" spans="1:14" ht="15" customHeight="1" thickBot="1" x14ac:dyDescent="0.4">
      <c r="A27" s="251" t="s">
        <v>46</v>
      </c>
      <c r="B27" s="252"/>
      <c r="C27" s="252"/>
      <c r="D27" s="252"/>
      <c r="E27" s="253"/>
      <c r="F27" s="251" t="s">
        <v>47</v>
      </c>
      <c r="G27" s="252"/>
      <c r="H27" s="252"/>
      <c r="I27" s="252"/>
      <c r="J27" s="252"/>
      <c r="K27" s="252"/>
      <c r="L27" s="252"/>
      <c r="M27" s="253"/>
    </row>
    <row r="28" spans="1:14" ht="19" customHeight="1" thickBot="1" x14ac:dyDescent="0.4">
      <c r="A28" s="251" t="s">
        <v>41</v>
      </c>
      <c r="B28" s="252"/>
      <c r="C28" s="252"/>
      <c r="D28" s="252"/>
      <c r="E28" s="253"/>
      <c r="F28" s="251" t="s">
        <v>45</v>
      </c>
      <c r="G28" s="252"/>
      <c r="H28" s="252"/>
      <c r="I28" s="252"/>
      <c r="J28" s="252"/>
      <c r="K28" s="252"/>
      <c r="L28" s="252"/>
      <c r="M28" s="253"/>
    </row>
    <row r="29" spans="1:14" ht="36.5" thickBot="1" x14ac:dyDescent="0.4">
      <c r="A29" s="177" t="s">
        <v>3</v>
      </c>
      <c r="B29" s="254" t="s">
        <v>4</v>
      </c>
      <c r="C29" s="255"/>
      <c r="D29" s="95" t="s">
        <v>49</v>
      </c>
      <c r="E29" s="99" t="s">
        <v>0</v>
      </c>
      <c r="F29" s="95" t="s">
        <v>48</v>
      </c>
      <c r="G29" s="95" t="s">
        <v>5</v>
      </c>
      <c r="H29" s="95" t="s">
        <v>50</v>
      </c>
      <c r="I29" s="171" t="s">
        <v>7</v>
      </c>
      <c r="J29" s="172" t="s">
        <v>86</v>
      </c>
      <c r="K29" s="173" t="s">
        <v>88</v>
      </c>
      <c r="L29" s="173" t="s">
        <v>87</v>
      </c>
      <c r="M29" s="174" t="s">
        <v>89</v>
      </c>
    </row>
    <row r="30" spans="1:14" ht="194.5" customHeight="1" x14ac:dyDescent="0.35">
      <c r="A30" s="165">
        <v>1</v>
      </c>
      <c r="B30" s="256" t="s">
        <v>60</v>
      </c>
      <c r="C30" s="256"/>
      <c r="D30" s="164"/>
      <c r="E30" s="165" t="s">
        <v>9</v>
      </c>
      <c r="F30" s="175"/>
      <c r="G30" s="165">
        <v>10</v>
      </c>
      <c r="H30" s="169">
        <v>569396</v>
      </c>
      <c r="I30" s="181">
        <f>G30*H30</f>
        <v>5693960</v>
      </c>
      <c r="J30" s="193">
        <v>6</v>
      </c>
      <c r="K30" s="181">
        <f>J30*H30</f>
        <v>3416376</v>
      </c>
      <c r="L30" s="170">
        <f>J30/G30</f>
        <v>0.6</v>
      </c>
      <c r="M30" s="170">
        <f>4/G30</f>
        <v>0.4</v>
      </c>
      <c r="N30" s="149"/>
    </row>
    <row r="31" spans="1:14" ht="70" customHeight="1" x14ac:dyDescent="0.35">
      <c r="A31" s="98">
        <v>2</v>
      </c>
      <c r="B31" s="249" t="s">
        <v>64</v>
      </c>
      <c r="C31" s="249"/>
      <c r="D31" s="94"/>
      <c r="E31" s="98" t="s">
        <v>9</v>
      </c>
      <c r="F31" s="96"/>
      <c r="G31" s="98">
        <v>10</v>
      </c>
      <c r="H31" s="144">
        <v>1644104</v>
      </c>
      <c r="I31" s="145">
        <f>G31*H31</f>
        <v>16441040</v>
      </c>
      <c r="J31" s="160">
        <v>6</v>
      </c>
      <c r="K31" s="145">
        <f>J31*H31</f>
        <v>9864624</v>
      </c>
      <c r="L31" s="157">
        <f>J31/G31</f>
        <v>0.6</v>
      </c>
      <c r="M31" s="157">
        <f>4/G31</f>
        <v>0.4</v>
      </c>
      <c r="N31" s="149"/>
    </row>
    <row r="32" spans="1:14" x14ac:dyDescent="0.35">
      <c r="A32" s="247" t="s">
        <v>7</v>
      </c>
      <c r="B32" s="247"/>
      <c r="C32" s="247"/>
      <c r="D32" s="247"/>
      <c r="E32" s="111"/>
      <c r="G32" s="111"/>
      <c r="H32" s="148"/>
      <c r="I32" s="187">
        <f>SUM(I30:I31)</f>
        <v>22135000</v>
      </c>
      <c r="J32" s="154"/>
      <c r="K32" s="153">
        <f>SUM(K30:K31)</f>
        <v>13281000</v>
      </c>
    </row>
    <row r="33" spans="1:13" x14ac:dyDescent="0.35">
      <c r="A33" s="247" t="s">
        <v>91</v>
      </c>
      <c r="B33" s="247"/>
      <c r="C33" s="247"/>
      <c r="D33" s="247"/>
      <c r="E33" s="111"/>
      <c r="G33" s="111"/>
      <c r="H33" s="148"/>
      <c r="I33" s="187"/>
      <c r="J33" s="154"/>
      <c r="K33" s="153">
        <f>G25</f>
        <v>13394520</v>
      </c>
    </row>
    <row r="34" spans="1:13" x14ac:dyDescent="0.35">
      <c r="A34" s="247" t="s">
        <v>90</v>
      </c>
      <c r="B34" s="247"/>
      <c r="C34" s="247"/>
      <c r="D34" s="247"/>
      <c r="E34" s="111"/>
      <c r="G34" s="111"/>
      <c r="H34" s="148"/>
      <c r="I34" s="187"/>
      <c r="J34" s="154"/>
      <c r="K34" s="153">
        <f>K33-K32</f>
        <v>113520</v>
      </c>
    </row>
    <row r="35" spans="1:13" x14ac:dyDescent="0.35">
      <c r="A35" s="111"/>
      <c r="B35" s="112"/>
      <c r="C35" s="112"/>
      <c r="D35" s="112"/>
      <c r="E35" s="111"/>
      <c r="G35" s="111"/>
      <c r="H35" s="148"/>
      <c r="I35" s="187"/>
      <c r="J35" s="154"/>
      <c r="K35" s="153"/>
    </row>
    <row r="37" spans="1:13" ht="23" customHeight="1" x14ac:dyDescent="0.35">
      <c r="A37" s="100" t="s">
        <v>42</v>
      </c>
      <c r="B37" s="100" t="s">
        <v>41</v>
      </c>
      <c r="C37" s="250" t="s">
        <v>45</v>
      </c>
      <c r="D37" s="250"/>
      <c r="E37" s="100" t="s">
        <v>43</v>
      </c>
      <c r="F37" s="107" t="s">
        <v>65</v>
      </c>
      <c r="G37" s="267">
        <v>7000000</v>
      </c>
      <c r="H37" s="267"/>
      <c r="I37" s="100" t="s">
        <v>62</v>
      </c>
    </row>
    <row r="38" spans="1:13" ht="15" customHeight="1" thickBot="1" x14ac:dyDescent="0.4"/>
    <row r="39" spans="1:13" ht="15" customHeight="1" thickBot="1" x14ac:dyDescent="0.4">
      <c r="A39" s="251" t="s">
        <v>46</v>
      </c>
      <c r="B39" s="252"/>
      <c r="C39" s="252"/>
      <c r="D39" s="252"/>
      <c r="E39" s="253"/>
      <c r="F39" s="251" t="s">
        <v>47</v>
      </c>
      <c r="G39" s="252"/>
      <c r="H39" s="252"/>
      <c r="I39" s="252"/>
      <c r="J39" s="252"/>
      <c r="K39" s="252"/>
      <c r="L39" s="252"/>
      <c r="M39" s="253"/>
    </row>
    <row r="40" spans="1:13" ht="15" customHeight="1" thickBot="1" x14ac:dyDescent="0.4">
      <c r="A40" s="251" t="s">
        <v>41</v>
      </c>
      <c r="B40" s="252"/>
      <c r="C40" s="252"/>
      <c r="D40" s="252"/>
      <c r="E40" s="253"/>
      <c r="F40" s="251" t="s">
        <v>45</v>
      </c>
      <c r="G40" s="252"/>
      <c r="H40" s="252"/>
      <c r="I40" s="252"/>
      <c r="J40" s="252"/>
      <c r="K40" s="252"/>
      <c r="L40" s="252"/>
      <c r="M40" s="253"/>
    </row>
    <row r="41" spans="1:13" ht="36.5" thickBot="1" x14ac:dyDescent="0.4">
      <c r="A41" s="177" t="s">
        <v>3</v>
      </c>
      <c r="B41" s="254" t="s">
        <v>4</v>
      </c>
      <c r="C41" s="255"/>
      <c r="D41" s="95" t="s">
        <v>49</v>
      </c>
      <c r="E41" s="99" t="s">
        <v>0</v>
      </c>
      <c r="F41" s="95" t="s">
        <v>48</v>
      </c>
      <c r="G41" s="95" t="s">
        <v>5</v>
      </c>
      <c r="H41" s="95" t="s">
        <v>50</v>
      </c>
      <c r="I41" s="171" t="s">
        <v>7</v>
      </c>
      <c r="J41" s="172" t="s">
        <v>86</v>
      </c>
      <c r="K41" s="173" t="s">
        <v>88</v>
      </c>
      <c r="L41" s="173" t="s">
        <v>87</v>
      </c>
      <c r="M41" s="174" t="s">
        <v>89</v>
      </c>
    </row>
    <row r="42" spans="1:13" ht="163.5" customHeight="1" x14ac:dyDescent="0.35">
      <c r="A42" s="199">
        <v>1</v>
      </c>
      <c r="B42" s="256" t="s">
        <v>66</v>
      </c>
      <c r="C42" s="256"/>
      <c r="D42" s="164"/>
      <c r="E42" s="165" t="s">
        <v>9</v>
      </c>
      <c r="F42" s="175"/>
      <c r="G42" s="165">
        <v>1</v>
      </c>
      <c r="H42" s="169">
        <v>10537117</v>
      </c>
      <c r="I42" s="169">
        <f>G42*H42</f>
        <v>10537117</v>
      </c>
      <c r="J42" s="176">
        <v>0</v>
      </c>
      <c r="K42" s="165">
        <v>0</v>
      </c>
      <c r="L42" s="186">
        <v>0</v>
      </c>
      <c r="M42" s="186">
        <v>1</v>
      </c>
    </row>
    <row r="43" spans="1:13" x14ac:dyDescent="0.35">
      <c r="A43" s="247" t="s">
        <v>7</v>
      </c>
      <c r="B43" s="247"/>
      <c r="C43" s="247"/>
      <c r="D43" s="247"/>
      <c r="E43" s="111"/>
      <c r="G43" s="111"/>
      <c r="H43" s="148"/>
      <c r="I43" s="197">
        <f>SUM(I42)</f>
        <v>10537117</v>
      </c>
    </row>
    <row r="44" spans="1:13" x14ac:dyDescent="0.35">
      <c r="A44" s="247" t="s">
        <v>91</v>
      </c>
      <c r="B44" s="247"/>
      <c r="C44" s="247"/>
      <c r="D44" s="247"/>
      <c r="E44" s="111"/>
      <c r="G44" s="111"/>
      <c r="H44" s="148"/>
      <c r="I44" s="197">
        <f>G37</f>
        <v>7000000</v>
      </c>
    </row>
    <row r="45" spans="1:13" x14ac:dyDescent="0.35">
      <c r="A45" s="247" t="s">
        <v>90</v>
      </c>
      <c r="B45" s="247"/>
      <c r="C45" s="247"/>
      <c r="D45" s="247"/>
      <c r="E45" s="111"/>
      <c r="G45" s="111"/>
      <c r="H45" s="148"/>
      <c r="I45" s="198">
        <f>I44-I43</f>
        <v>-3537117</v>
      </c>
    </row>
    <row r="46" spans="1:13" x14ac:dyDescent="0.35">
      <c r="A46" s="111"/>
      <c r="B46" s="112"/>
      <c r="C46" s="112"/>
      <c r="D46" s="112"/>
      <c r="E46" s="111"/>
      <c r="G46" s="111"/>
      <c r="H46" s="148"/>
      <c r="I46" s="148"/>
    </row>
    <row r="48" spans="1:13" ht="26" customHeight="1" x14ac:dyDescent="0.35">
      <c r="A48" s="100" t="s">
        <v>42</v>
      </c>
      <c r="B48" s="100" t="s">
        <v>41</v>
      </c>
      <c r="C48" s="250" t="s">
        <v>45</v>
      </c>
      <c r="D48" s="250"/>
      <c r="E48" s="100" t="s">
        <v>43</v>
      </c>
      <c r="F48" s="108" t="s">
        <v>67</v>
      </c>
      <c r="G48" s="267">
        <v>38677068</v>
      </c>
      <c r="H48" s="267"/>
      <c r="I48" s="100" t="s">
        <v>62</v>
      </c>
    </row>
    <row r="49" spans="1:13" ht="15" thickBot="1" x14ac:dyDescent="0.4"/>
    <row r="50" spans="1:13" ht="15" customHeight="1" thickBot="1" x14ac:dyDescent="0.4">
      <c r="A50" s="251" t="s">
        <v>46</v>
      </c>
      <c r="B50" s="252"/>
      <c r="C50" s="252"/>
      <c r="D50" s="252"/>
      <c r="E50" s="253"/>
      <c r="F50" s="251" t="s">
        <v>47</v>
      </c>
      <c r="G50" s="252"/>
      <c r="H50" s="252"/>
      <c r="I50" s="252"/>
      <c r="J50" s="252"/>
      <c r="K50" s="252"/>
      <c r="L50" s="252"/>
      <c r="M50" s="253"/>
    </row>
    <row r="51" spans="1:13" ht="30" customHeight="1" thickBot="1" x14ac:dyDescent="0.4">
      <c r="A51" s="251" t="s">
        <v>41</v>
      </c>
      <c r="B51" s="252"/>
      <c r="C51" s="252"/>
      <c r="D51" s="252"/>
      <c r="E51" s="253"/>
      <c r="F51" s="251" t="s">
        <v>45</v>
      </c>
      <c r="G51" s="252"/>
      <c r="H51" s="252"/>
      <c r="I51" s="252"/>
      <c r="J51" s="252"/>
      <c r="K51" s="252"/>
      <c r="L51" s="252"/>
      <c r="M51" s="253"/>
    </row>
    <row r="52" spans="1:13" ht="36.5" thickBot="1" x14ac:dyDescent="0.4">
      <c r="A52" s="177" t="s">
        <v>3</v>
      </c>
      <c r="B52" s="254" t="s">
        <v>4</v>
      </c>
      <c r="C52" s="255"/>
      <c r="D52" s="95" t="s">
        <v>49</v>
      </c>
      <c r="E52" s="99" t="s">
        <v>0</v>
      </c>
      <c r="F52" s="95" t="s">
        <v>48</v>
      </c>
      <c r="G52" s="95" t="s">
        <v>5</v>
      </c>
      <c r="H52" s="95" t="s">
        <v>50</v>
      </c>
      <c r="I52" s="171" t="s">
        <v>7</v>
      </c>
      <c r="J52" s="173" t="s">
        <v>86</v>
      </c>
      <c r="K52" s="173" t="s">
        <v>88</v>
      </c>
      <c r="L52" s="173" t="s">
        <v>87</v>
      </c>
      <c r="M52" s="174" t="s">
        <v>89</v>
      </c>
    </row>
    <row r="53" spans="1:13" ht="209" customHeight="1" x14ac:dyDescent="0.35">
      <c r="A53" s="165">
        <v>1</v>
      </c>
      <c r="B53" s="256" t="s">
        <v>117</v>
      </c>
      <c r="C53" s="256"/>
      <c r="D53" s="164"/>
      <c r="E53" s="165" t="s">
        <v>9</v>
      </c>
      <c r="F53" s="165">
        <v>0</v>
      </c>
      <c r="G53" s="165">
        <v>300</v>
      </c>
      <c r="H53" s="178">
        <v>295000</v>
      </c>
      <c r="I53" s="179">
        <f>H53*G53</f>
        <v>88500000</v>
      </c>
      <c r="J53" s="180">
        <v>131</v>
      </c>
      <c r="K53" s="181">
        <f>J53*H53</f>
        <v>38645000</v>
      </c>
      <c r="L53" s="170">
        <f>J53/G53</f>
        <v>0.43666666666666665</v>
      </c>
      <c r="M53" s="170">
        <f>169/G53</f>
        <v>0.56333333333333335</v>
      </c>
    </row>
    <row r="54" spans="1:13" x14ac:dyDescent="0.35">
      <c r="A54" s="247" t="s">
        <v>7</v>
      </c>
      <c r="B54" s="247"/>
      <c r="C54" s="247"/>
      <c r="D54" s="247"/>
      <c r="I54" s="188">
        <f>I53</f>
        <v>88500000</v>
      </c>
      <c r="K54" s="153">
        <f>SUM(K53)</f>
        <v>38645000</v>
      </c>
    </row>
    <row r="55" spans="1:13" x14ac:dyDescent="0.35">
      <c r="A55" s="247" t="s">
        <v>91</v>
      </c>
      <c r="B55" s="247"/>
      <c r="C55" s="247"/>
      <c r="D55" s="247"/>
      <c r="K55" s="153">
        <f>G48</f>
        <v>38677068</v>
      </c>
    </row>
    <row r="56" spans="1:13" x14ac:dyDescent="0.35">
      <c r="A56" s="247" t="s">
        <v>90</v>
      </c>
      <c r="B56" s="247"/>
      <c r="C56" s="247"/>
      <c r="D56" s="247"/>
      <c r="K56" s="153">
        <f>K55-K54</f>
        <v>32068</v>
      </c>
    </row>
    <row r="57" spans="1:13" x14ac:dyDescent="0.35">
      <c r="K57" s="153"/>
    </row>
    <row r="58" spans="1:13" ht="32.5" customHeight="1" x14ac:dyDescent="0.35">
      <c r="A58" s="100" t="s">
        <v>42</v>
      </c>
      <c r="B58" s="100" t="s">
        <v>41</v>
      </c>
      <c r="C58" s="250" t="s">
        <v>45</v>
      </c>
      <c r="D58" s="250"/>
      <c r="E58" s="100" t="s">
        <v>43</v>
      </c>
      <c r="F58" s="109" t="s">
        <v>68</v>
      </c>
      <c r="G58" s="267">
        <v>80004560</v>
      </c>
      <c r="H58" s="267"/>
      <c r="I58" s="100" t="s">
        <v>62</v>
      </c>
    </row>
    <row r="59" spans="1:13" ht="15" thickBot="1" x14ac:dyDescent="0.4"/>
    <row r="60" spans="1:13" ht="15" customHeight="1" thickBot="1" x14ac:dyDescent="0.4">
      <c r="A60" s="251" t="s">
        <v>46</v>
      </c>
      <c r="B60" s="252"/>
      <c r="C60" s="252"/>
      <c r="D60" s="252"/>
      <c r="E60" s="253"/>
      <c r="F60" s="251" t="s">
        <v>47</v>
      </c>
      <c r="G60" s="252"/>
      <c r="H60" s="252"/>
      <c r="I60" s="252"/>
      <c r="J60" s="252"/>
      <c r="K60" s="252"/>
      <c r="L60" s="252"/>
      <c r="M60" s="253"/>
    </row>
    <row r="61" spans="1:13" ht="30" customHeight="1" thickBot="1" x14ac:dyDescent="0.4">
      <c r="A61" s="251" t="s">
        <v>41</v>
      </c>
      <c r="B61" s="252"/>
      <c r="C61" s="252"/>
      <c r="D61" s="252"/>
      <c r="E61" s="253"/>
      <c r="F61" s="251" t="s">
        <v>45</v>
      </c>
      <c r="G61" s="252"/>
      <c r="H61" s="252"/>
      <c r="I61" s="252"/>
      <c r="J61" s="252"/>
      <c r="K61" s="252"/>
      <c r="L61" s="252"/>
      <c r="M61" s="253"/>
    </row>
    <row r="62" spans="1:13" ht="36.5" thickBot="1" x14ac:dyDescent="0.4">
      <c r="A62" s="104" t="s">
        <v>3</v>
      </c>
      <c r="B62" s="254" t="s">
        <v>4</v>
      </c>
      <c r="C62" s="255"/>
      <c r="D62" s="95" t="s">
        <v>49</v>
      </c>
      <c r="E62" s="99" t="s">
        <v>0</v>
      </c>
      <c r="F62" s="95" t="s">
        <v>48</v>
      </c>
      <c r="G62" s="95" t="s">
        <v>5</v>
      </c>
      <c r="H62" s="95" t="s">
        <v>50</v>
      </c>
      <c r="I62" s="171" t="s">
        <v>7</v>
      </c>
      <c r="J62" s="172" t="s">
        <v>86</v>
      </c>
      <c r="K62" s="173" t="s">
        <v>88</v>
      </c>
      <c r="L62" s="173" t="s">
        <v>87</v>
      </c>
      <c r="M62" s="174" t="s">
        <v>89</v>
      </c>
    </row>
    <row r="63" spans="1:13" ht="232.5" customHeight="1" x14ac:dyDescent="0.35">
      <c r="A63" s="150">
        <v>1</v>
      </c>
      <c r="B63" s="256" t="s">
        <v>51</v>
      </c>
      <c r="C63" s="256"/>
      <c r="D63" s="182"/>
      <c r="E63" s="165" t="s">
        <v>9</v>
      </c>
      <c r="F63" s="165">
        <v>0</v>
      </c>
      <c r="G63" s="165">
        <v>6</v>
      </c>
      <c r="H63" s="181">
        <v>1216657</v>
      </c>
      <c r="I63" s="183">
        <f>G63*H63</f>
        <v>7299942</v>
      </c>
      <c r="J63" s="168">
        <v>3</v>
      </c>
      <c r="K63" s="181">
        <f>H63*J63</f>
        <v>3649971</v>
      </c>
      <c r="L63" s="184">
        <f>J63/G63</f>
        <v>0.5</v>
      </c>
      <c r="M63" s="184">
        <v>0</v>
      </c>
    </row>
    <row r="64" spans="1:13" ht="187" customHeight="1" x14ac:dyDescent="0.35">
      <c r="A64" s="150">
        <v>2</v>
      </c>
      <c r="B64" s="249" t="s">
        <v>60</v>
      </c>
      <c r="C64" s="249"/>
      <c r="D64" s="94"/>
      <c r="E64" s="98" t="s">
        <v>9</v>
      </c>
      <c r="F64" s="97"/>
      <c r="G64" s="98">
        <v>53</v>
      </c>
      <c r="H64" s="145">
        <v>569396</v>
      </c>
      <c r="I64" s="161">
        <f>G64*H64</f>
        <v>30177988</v>
      </c>
      <c r="J64" s="151">
        <v>15</v>
      </c>
      <c r="K64" s="145">
        <f t="shared" ref="K64:K66" si="1">H64*J64</f>
        <v>8540940</v>
      </c>
      <c r="L64" s="163">
        <f>J64/G64</f>
        <v>0.28301886792452829</v>
      </c>
      <c r="M64" s="163">
        <f>38/G64</f>
        <v>0.71698113207547165</v>
      </c>
    </row>
    <row r="65" spans="1:13" ht="206.5" customHeight="1" x14ac:dyDescent="0.35">
      <c r="A65" s="150">
        <v>3</v>
      </c>
      <c r="B65" s="256" t="s">
        <v>117</v>
      </c>
      <c r="C65" s="256"/>
      <c r="D65" s="94"/>
      <c r="E65" s="98" t="s">
        <v>9</v>
      </c>
      <c r="F65" s="97"/>
      <c r="G65" s="98">
        <v>56</v>
      </c>
      <c r="H65" s="145">
        <v>295000</v>
      </c>
      <c r="I65" s="161">
        <f>G65*H65</f>
        <v>16520000</v>
      </c>
      <c r="J65" s="151">
        <v>19</v>
      </c>
      <c r="K65" s="145">
        <f t="shared" si="1"/>
        <v>5605000</v>
      </c>
      <c r="L65" s="163">
        <f>J65/G65</f>
        <v>0.3392857142857143</v>
      </c>
      <c r="M65" s="163">
        <f>42/G65</f>
        <v>0.75</v>
      </c>
    </row>
    <row r="66" spans="1:13" ht="204.5" customHeight="1" x14ac:dyDescent="0.35">
      <c r="A66" s="150">
        <v>4</v>
      </c>
      <c r="B66" s="249" t="s">
        <v>69</v>
      </c>
      <c r="C66" s="249"/>
      <c r="D66" s="94"/>
      <c r="E66" s="98" t="s">
        <v>9</v>
      </c>
      <c r="F66" s="97"/>
      <c r="G66" s="98">
        <v>40</v>
      </c>
      <c r="H66" s="145">
        <v>488662</v>
      </c>
      <c r="I66" s="161">
        <f>G66*H66</f>
        <v>19546480</v>
      </c>
      <c r="J66" s="151">
        <v>14</v>
      </c>
      <c r="K66" s="145">
        <f t="shared" si="1"/>
        <v>6841268</v>
      </c>
      <c r="L66" s="163">
        <f>J66/G66</f>
        <v>0.35</v>
      </c>
      <c r="M66" s="163">
        <f>26/G66</f>
        <v>0.65</v>
      </c>
    </row>
    <row r="67" spans="1:13" ht="296" customHeight="1" x14ac:dyDescent="0.35">
      <c r="A67" s="248">
        <v>5</v>
      </c>
      <c r="B67" s="249" t="s">
        <v>70</v>
      </c>
      <c r="C67" s="249"/>
      <c r="D67" s="262"/>
      <c r="E67" s="264" t="s">
        <v>9</v>
      </c>
      <c r="F67" s="264"/>
      <c r="G67" s="265">
        <v>3</v>
      </c>
      <c r="H67" s="266">
        <v>2962862</v>
      </c>
      <c r="I67" s="258">
        <f>G67*H67</f>
        <v>8888586</v>
      </c>
      <c r="J67" s="257">
        <v>3</v>
      </c>
      <c r="K67" s="258">
        <f>H67*J67</f>
        <v>8888586</v>
      </c>
      <c r="L67" s="260">
        <f>J67/G67</f>
        <v>1</v>
      </c>
      <c r="M67" s="261">
        <v>0</v>
      </c>
    </row>
    <row r="68" spans="1:13" ht="223" customHeight="1" x14ac:dyDescent="0.35">
      <c r="A68" s="248"/>
      <c r="B68" s="249" t="s">
        <v>71</v>
      </c>
      <c r="C68" s="249"/>
      <c r="D68" s="263"/>
      <c r="E68" s="264"/>
      <c r="F68" s="264"/>
      <c r="G68" s="265"/>
      <c r="H68" s="266"/>
      <c r="I68" s="259"/>
      <c r="J68" s="257"/>
      <c r="K68" s="259"/>
      <c r="L68" s="260"/>
      <c r="M68" s="261"/>
    </row>
    <row r="69" spans="1:13" ht="95.5" customHeight="1" x14ac:dyDescent="0.35">
      <c r="A69" s="150">
        <v>6</v>
      </c>
      <c r="B69" s="249" t="s">
        <v>72</v>
      </c>
      <c r="C69" s="249"/>
      <c r="D69" s="94"/>
      <c r="E69" s="98" t="s">
        <v>9</v>
      </c>
      <c r="F69" s="97"/>
      <c r="G69" s="98">
        <v>3</v>
      </c>
      <c r="H69" s="145">
        <v>4289593</v>
      </c>
      <c r="I69" s="161">
        <f>G69*H69</f>
        <v>12868779</v>
      </c>
      <c r="J69" s="151">
        <v>3</v>
      </c>
      <c r="K69" s="145">
        <f>H69*J69</f>
        <v>12868779</v>
      </c>
      <c r="L69" s="163">
        <f t="shared" ref="L69:L74" si="2">J69/G69</f>
        <v>1</v>
      </c>
      <c r="M69" s="163">
        <v>0</v>
      </c>
    </row>
    <row r="70" spans="1:13" ht="363.5" customHeight="1" x14ac:dyDescent="0.35">
      <c r="A70" s="150">
        <v>7</v>
      </c>
      <c r="B70" s="249" t="s">
        <v>73</v>
      </c>
      <c r="C70" s="249"/>
      <c r="D70" s="94"/>
      <c r="E70" s="98" t="s">
        <v>9</v>
      </c>
      <c r="F70" s="97"/>
      <c r="G70" s="98">
        <v>3</v>
      </c>
      <c r="H70" s="145">
        <v>1530578</v>
      </c>
      <c r="I70" s="161">
        <f t="shared" ref="I70:I74" si="3">G70*H70</f>
        <v>4591734</v>
      </c>
      <c r="J70" s="151">
        <v>3</v>
      </c>
      <c r="K70" s="145">
        <f t="shared" ref="K70:K74" si="4">H70*J70</f>
        <v>4591734</v>
      </c>
      <c r="L70" s="163">
        <f t="shared" si="2"/>
        <v>1</v>
      </c>
      <c r="M70" s="163">
        <v>0</v>
      </c>
    </row>
    <row r="71" spans="1:13" ht="274.5" customHeight="1" x14ac:dyDescent="0.35">
      <c r="A71" s="150">
        <v>8</v>
      </c>
      <c r="B71" s="249" t="s">
        <v>74</v>
      </c>
      <c r="C71" s="249"/>
      <c r="D71" s="94"/>
      <c r="E71" s="98" t="s">
        <v>9</v>
      </c>
      <c r="F71" s="97"/>
      <c r="G71" s="98">
        <v>1</v>
      </c>
      <c r="H71" s="145">
        <v>15805675</v>
      </c>
      <c r="I71" s="161">
        <f t="shared" si="3"/>
        <v>15805675</v>
      </c>
      <c r="J71" s="151">
        <v>1</v>
      </c>
      <c r="K71" s="145">
        <f t="shared" si="4"/>
        <v>15805675</v>
      </c>
      <c r="L71" s="163">
        <f t="shared" si="2"/>
        <v>1</v>
      </c>
      <c r="M71" s="163">
        <v>0</v>
      </c>
    </row>
    <row r="72" spans="1:13" ht="131.5" customHeight="1" x14ac:dyDescent="0.35">
      <c r="A72" s="150">
        <v>9</v>
      </c>
      <c r="B72" s="249" t="s">
        <v>75</v>
      </c>
      <c r="C72" s="249"/>
      <c r="D72" s="27"/>
      <c r="E72" s="98" t="s">
        <v>9</v>
      </c>
      <c r="F72" s="97"/>
      <c r="G72" s="98">
        <v>1</v>
      </c>
      <c r="H72" s="145">
        <v>4046000</v>
      </c>
      <c r="I72" s="161">
        <f t="shared" si="3"/>
        <v>4046000</v>
      </c>
      <c r="J72" s="151">
        <v>1</v>
      </c>
      <c r="K72" s="145">
        <f t="shared" si="4"/>
        <v>4046000</v>
      </c>
      <c r="L72" s="163">
        <f t="shared" si="2"/>
        <v>1</v>
      </c>
      <c r="M72" s="163">
        <v>0</v>
      </c>
    </row>
    <row r="73" spans="1:13" ht="66" customHeight="1" x14ac:dyDescent="0.35">
      <c r="A73" s="150">
        <v>10</v>
      </c>
      <c r="B73" s="249" t="s">
        <v>76</v>
      </c>
      <c r="C73" s="249"/>
      <c r="D73" s="94"/>
      <c r="E73" s="98" t="s">
        <v>9</v>
      </c>
      <c r="F73" s="97"/>
      <c r="G73" s="98">
        <v>36</v>
      </c>
      <c r="H73" s="145">
        <v>251163</v>
      </c>
      <c r="I73" s="161">
        <f t="shared" si="3"/>
        <v>9041868</v>
      </c>
      <c r="J73" s="151">
        <v>18</v>
      </c>
      <c r="K73" s="145">
        <f t="shared" si="4"/>
        <v>4520934</v>
      </c>
      <c r="L73" s="163">
        <f t="shared" si="2"/>
        <v>0.5</v>
      </c>
      <c r="M73" s="163">
        <f>18/G73</f>
        <v>0.5</v>
      </c>
    </row>
    <row r="74" spans="1:13" ht="95.5" customHeight="1" x14ac:dyDescent="0.35">
      <c r="A74" s="150">
        <v>11</v>
      </c>
      <c r="B74" s="249" t="s">
        <v>77</v>
      </c>
      <c r="C74" s="249"/>
      <c r="D74" s="94"/>
      <c r="E74" s="98" t="s">
        <v>9</v>
      </c>
      <c r="F74" s="97"/>
      <c r="G74" s="98">
        <v>80</v>
      </c>
      <c r="H74" s="145">
        <v>209309</v>
      </c>
      <c r="I74" s="161">
        <f t="shared" si="3"/>
        <v>16744720</v>
      </c>
      <c r="J74" s="151">
        <v>22</v>
      </c>
      <c r="K74" s="145">
        <f t="shared" si="4"/>
        <v>4604798</v>
      </c>
      <c r="L74" s="163">
        <f t="shared" si="2"/>
        <v>0.27500000000000002</v>
      </c>
      <c r="M74" s="163">
        <f>59/G74</f>
        <v>0.73750000000000004</v>
      </c>
    </row>
    <row r="75" spans="1:13" x14ac:dyDescent="0.35">
      <c r="A75" s="247" t="s">
        <v>7</v>
      </c>
      <c r="B75" s="247"/>
      <c r="C75" s="247"/>
      <c r="D75" s="247"/>
      <c r="E75" s="111"/>
      <c r="G75" s="111"/>
      <c r="H75" s="92"/>
      <c r="I75" s="189">
        <f>SUM(I63:I74)</f>
        <v>145531772</v>
      </c>
      <c r="J75" s="190"/>
      <c r="K75" s="189">
        <f>SUM(K63:K74)</f>
        <v>79963685</v>
      </c>
    </row>
    <row r="76" spans="1:13" x14ac:dyDescent="0.35">
      <c r="A76" s="247" t="s">
        <v>91</v>
      </c>
      <c r="B76" s="247"/>
      <c r="C76" s="247"/>
      <c r="D76" s="247"/>
      <c r="E76" s="111"/>
      <c r="G76" s="111"/>
      <c r="H76" s="92"/>
      <c r="I76" s="189"/>
      <c r="J76" s="190"/>
      <c r="K76" s="189">
        <f>G58</f>
        <v>80004560</v>
      </c>
    </row>
    <row r="77" spans="1:13" x14ac:dyDescent="0.35">
      <c r="A77" s="247" t="s">
        <v>90</v>
      </c>
      <c r="B77" s="247"/>
      <c r="C77" s="247"/>
      <c r="D77" s="247"/>
      <c r="E77" s="111"/>
      <c r="G77" s="111"/>
      <c r="H77" s="92"/>
      <c r="I77" s="189"/>
      <c r="J77" s="190"/>
      <c r="K77" s="189">
        <f>K76-K75</f>
        <v>40875</v>
      </c>
    </row>
    <row r="78" spans="1:13" x14ac:dyDescent="0.35">
      <c r="K78" s="93"/>
    </row>
    <row r="80" spans="1:13" ht="26" customHeight="1" thickBot="1" x14ac:dyDescent="0.4">
      <c r="A80" s="100" t="s">
        <v>42</v>
      </c>
      <c r="B80" s="100" t="s">
        <v>58</v>
      </c>
      <c r="C80" s="250" t="s">
        <v>57</v>
      </c>
      <c r="D80" s="250"/>
      <c r="E80" s="100" t="s">
        <v>43</v>
      </c>
      <c r="F80" s="185" t="s">
        <v>53</v>
      </c>
      <c r="G80" s="268">
        <v>10438572</v>
      </c>
      <c r="H80" s="268"/>
      <c r="I80" s="100" t="s">
        <v>61</v>
      </c>
    </row>
    <row r="81" spans="1:13" ht="15" customHeight="1" thickBot="1" x14ac:dyDescent="0.4">
      <c r="A81" s="251" t="s">
        <v>46</v>
      </c>
      <c r="B81" s="252"/>
      <c r="C81" s="252"/>
      <c r="D81" s="252"/>
      <c r="E81" s="253"/>
      <c r="F81" s="251" t="s">
        <v>47</v>
      </c>
      <c r="G81" s="252"/>
      <c r="H81" s="252"/>
      <c r="I81" s="252"/>
      <c r="J81" s="252"/>
      <c r="K81" s="252"/>
      <c r="L81" s="252"/>
      <c r="M81" s="253"/>
    </row>
    <row r="82" spans="1:13" ht="15" customHeight="1" thickBot="1" x14ac:dyDescent="0.4">
      <c r="A82" s="251" t="s">
        <v>58</v>
      </c>
      <c r="B82" s="252"/>
      <c r="C82" s="252"/>
      <c r="D82" s="252"/>
      <c r="E82" s="253"/>
      <c r="F82" s="251" t="s">
        <v>57</v>
      </c>
      <c r="G82" s="252"/>
      <c r="H82" s="252"/>
      <c r="I82" s="252"/>
      <c r="J82" s="252"/>
      <c r="K82" s="252"/>
      <c r="L82" s="252"/>
      <c r="M82" s="253"/>
    </row>
    <row r="83" spans="1:13" ht="36.5" thickBot="1" x14ac:dyDescent="0.4">
      <c r="A83" s="177" t="s">
        <v>3</v>
      </c>
      <c r="B83" s="254" t="s">
        <v>4</v>
      </c>
      <c r="C83" s="255"/>
      <c r="D83" s="95" t="s">
        <v>49</v>
      </c>
      <c r="E83" s="99" t="s">
        <v>0</v>
      </c>
      <c r="F83" s="95" t="s">
        <v>48</v>
      </c>
      <c r="G83" s="95" t="s">
        <v>5</v>
      </c>
      <c r="H83" s="95" t="s">
        <v>50</v>
      </c>
      <c r="I83" s="95" t="s">
        <v>7</v>
      </c>
      <c r="J83" s="172" t="s">
        <v>86</v>
      </c>
      <c r="K83" s="173" t="s">
        <v>88</v>
      </c>
      <c r="L83" s="173" t="s">
        <v>87</v>
      </c>
      <c r="M83" s="174" t="s">
        <v>89</v>
      </c>
    </row>
    <row r="84" spans="1:13" ht="219.5" customHeight="1" x14ac:dyDescent="0.35">
      <c r="A84" s="165">
        <v>1</v>
      </c>
      <c r="B84" s="256" t="s">
        <v>59</v>
      </c>
      <c r="C84" s="256"/>
      <c r="D84" s="164"/>
      <c r="E84" s="165" t="s">
        <v>9</v>
      </c>
      <c r="F84" s="175"/>
      <c r="G84" s="165">
        <v>14</v>
      </c>
      <c r="H84" s="181">
        <v>416863</v>
      </c>
      <c r="I84" s="181">
        <f>G84*H84</f>
        <v>5836082</v>
      </c>
      <c r="J84" s="176">
        <v>8</v>
      </c>
      <c r="K84" s="169">
        <f>J84*H84</f>
        <v>3334904</v>
      </c>
      <c r="L84" s="186">
        <f>J84/G84</f>
        <v>0.5714285714285714</v>
      </c>
      <c r="M84" s="186">
        <f>6/G84</f>
        <v>0.42857142857142855</v>
      </c>
    </row>
    <row r="85" spans="1:13" ht="171" customHeight="1" x14ac:dyDescent="0.35">
      <c r="A85" s="98">
        <v>2</v>
      </c>
      <c r="B85" s="249" t="s">
        <v>60</v>
      </c>
      <c r="C85" s="249"/>
      <c r="D85" s="94"/>
      <c r="E85" s="98" t="s">
        <v>9</v>
      </c>
      <c r="G85" s="98">
        <v>20</v>
      </c>
      <c r="H85" s="145">
        <v>569396</v>
      </c>
      <c r="I85" s="145">
        <f t="shared" ref="I85:I86" si="5">G85*H85</f>
        <v>11387920</v>
      </c>
      <c r="J85" s="156">
        <v>10</v>
      </c>
      <c r="K85" s="144">
        <f>H85*J85</f>
        <v>5693960</v>
      </c>
      <c r="L85" s="162">
        <f>J85/G85</f>
        <v>0.5</v>
      </c>
      <c r="M85" s="162">
        <f>10/G85</f>
        <v>0.5</v>
      </c>
    </row>
    <row r="86" spans="1:13" ht="234.5" customHeight="1" x14ac:dyDescent="0.35">
      <c r="A86" s="98">
        <v>3</v>
      </c>
      <c r="B86" s="249" t="s">
        <v>51</v>
      </c>
      <c r="C86" s="249"/>
      <c r="D86" s="27"/>
      <c r="E86" s="98" t="s">
        <v>9</v>
      </c>
      <c r="F86" s="98">
        <v>0</v>
      </c>
      <c r="G86" s="98">
        <v>1</v>
      </c>
      <c r="H86" s="145">
        <v>1216657</v>
      </c>
      <c r="I86" s="145">
        <f t="shared" si="5"/>
        <v>1216657</v>
      </c>
      <c r="J86" s="156">
        <v>1</v>
      </c>
      <c r="K86" s="144">
        <f>H86*J86</f>
        <v>1216657</v>
      </c>
      <c r="L86" s="162">
        <f>J86/G86</f>
        <v>1</v>
      </c>
      <c r="M86" s="162">
        <v>0</v>
      </c>
    </row>
    <row r="87" spans="1:13" x14ac:dyDescent="0.35">
      <c r="A87" s="247" t="s">
        <v>7</v>
      </c>
      <c r="B87" s="247"/>
      <c r="C87" s="247"/>
      <c r="D87" s="247"/>
      <c r="I87" s="191">
        <f>SUM(I84:I86)</f>
        <v>18440659</v>
      </c>
      <c r="J87" s="192"/>
      <c r="K87" s="188">
        <f>SUM(K84:K86)</f>
        <v>10245521</v>
      </c>
    </row>
    <row r="88" spans="1:13" x14ac:dyDescent="0.35">
      <c r="A88" s="247" t="s">
        <v>91</v>
      </c>
      <c r="B88" s="247"/>
      <c r="C88" s="247"/>
      <c r="D88" s="247"/>
      <c r="K88" s="200">
        <f>G80</f>
        <v>10438572</v>
      </c>
    </row>
    <row r="89" spans="1:13" x14ac:dyDescent="0.35">
      <c r="A89" s="247" t="s">
        <v>90</v>
      </c>
      <c r="B89" s="247"/>
      <c r="C89" s="247"/>
      <c r="D89" s="247"/>
      <c r="K89" s="200">
        <f>K88-K87</f>
        <v>193051</v>
      </c>
    </row>
    <row r="91" spans="1:13" x14ac:dyDescent="0.35">
      <c r="H91" s="93"/>
    </row>
    <row r="92" spans="1:13" ht="22" customHeight="1" x14ac:dyDescent="0.35">
      <c r="A92" s="100" t="s">
        <v>42</v>
      </c>
      <c r="B92" s="100" t="s">
        <v>41</v>
      </c>
      <c r="C92" s="250" t="s">
        <v>45</v>
      </c>
      <c r="D92" s="250"/>
      <c r="E92" s="100" t="s">
        <v>43</v>
      </c>
      <c r="F92" s="201" t="s">
        <v>92</v>
      </c>
      <c r="G92" s="267">
        <v>240900000</v>
      </c>
      <c r="H92" s="267"/>
      <c r="I92" s="100" t="s">
        <v>62</v>
      </c>
    </row>
    <row r="93" spans="1:13" ht="15" thickBot="1" x14ac:dyDescent="0.4"/>
    <row r="94" spans="1:13" ht="15" thickBot="1" x14ac:dyDescent="0.4">
      <c r="A94" s="251" t="s">
        <v>46</v>
      </c>
      <c r="B94" s="252"/>
      <c r="C94" s="252"/>
      <c r="D94" s="252"/>
      <c r="E94" s="253"/>
      <c r="F94" s="251" t="s">
        <v>47</v>
      </c>
      <c r="G94" s="252"/>
      <c r="H94" s="252"/>
      <c r="I94" s="252"/>
      <c r="J94" s="252"/>
      <c r="K94" s="252"/>
      <c r="L94" s="252"/>
      <c r="M94" s="253"/>
    </row>
    <row r="95" spans="1:13" ht="15" thickBot="1" x14ac:dyDescent="0.4">
      <c r="A95" s="251" t="s">
        <v>41</v>
      </c>
      <c r="B95" s="252"/>
      <c r="C95" s="252"/>
      <c r="D95" s="252"/>
      <c r="E95" s="253"/>
      <c r="F95" s="251" t="s">
        <v>45</v>
      </c>
      <c r="G95" s="252"/>
      <c r="H95" s="252"/>
      <c r="I95" s="252"/>
      <c r="J95" s="252"/>
      <c r="K95" s="252"/>
      <c r="L95" s="252"/>
      <c r="M95" s="253"/>
    </row>
    <row r="96" spans="1:13" ht="36.5" thickBot="1" x14ac:dyDescent="0.4">
      <c r="A96" s="104" t="s">
        <v>3</v>
      </c>
      <c r="B96" s="254" t="s">
        <v>4</v>
      </c>
      <c r="C96" s="255"/>
      <c r="D96" s="95" t="s">
        <v>49</v>
      </c>
      <c r="E96" s="99" t="s">
        <v>0</v>
      </c>
      <c r="F96" s="95" t="s">
        <v>48</v>
      </c>
      <c r="G96" s="202" t="s">
        <v>5</v>
      </c>
      <c r="H96" s="95" t="s">
        <v>50</v>
      </c>
      <c r="I96" s="203" t="s">
        <v>7</v>
      </c>
      <c r="J96" s="204" t="s">
        <v>86</v>
      </c>
      <c r="K96" s="205" t="s">
        <v>88</v>
      </c>
      <c r="L96" s="205" t="s">
        <v>87</v>
      </c>
      <c r="M96" s="206" t="s">
        <v>89</v>
      </c>
    </row>
    <row r="97" spans="1:13" ht="73.5" customHeight="1" x14ac:dyDescent="0.35">
      <c r="A97" s="150">
        <v>1</v>
      </c>
      <c r="B97" s="249" t="s">
        <v>64</v>
      </c>
      <c r="C97" s="249"/>
      <c r="D97" s="94"/>
      <c r="E97" s="98" t="s">
        <v>9</v>
      </c>
      <c r="F97" s="98">
        <v>0</v>
      </c>
      <c r="G97" s="98">
        <v>30</v>
      </c>
      <c r="H97" s="144">
        <v>1644104</v>
      </c>
      <c r="I97" s="144">
        <f>G97*H97</f>
        <v>49323120</v>
      </c>
      <c r="J97" s="98">
        <v>30</v>
      </c>
      <c r="K97" s="144">
        <f>H97*J97</f>
        <v>49323120</v>
      </c>
      <c r="L97" s="208">
        <f>J97/G97</f>
        <v>1</v>
      </c>
      <c r="M97" s="208">
        <v>0</v>
      </c>
    </row>
    <row r="98" spans="1:13" ht="226" customHeight="1" x14ac:dyDescent="0.35">
      <c r="A98" s="150">
        <v>2</v>
      </c>
      <c r="B98" s="249" t="s">
        <v>51</v>
      </c>
      <c r="C98" s="249"/>
      <c r="D98" s="27"/>
      <c r="E98" s="98" t="s">
        <v>9</v>
      </c>
      <c r="F98" s="98">
        <v>0</v>
      </c>
      <c r="G98" s="98">
        <v>4</v>
      </c>
      <c r="H98" s="145">
        <v>1216657</v>
      </c>
      <c r="I98" s="144">
        <f t="shared" ref="I98:I104" si="6">G98*H98</f>
        <v>4866628</v>
      </c>
      <c r="J98" s="98">
        <v>4</v>
      </c>
      <c r="K98" s="144">
        <f t="shared" ref="K98:K104" si="7">H98*J98</f>
        <v>4866628</v>
      </c>
      <c r="L98" s="208">
        <f t="shared" ref="L98:L104" si="8">J98/G98</f>
        <v>1</v>
      </c>
      <c r="M98" s="208">
        <v>0</v>
      </c>
    </row>
    <row r="99" spans="1:13" ht="222" customHeight="1" x14ac:dyDescent="0.35">
      <c r="A99" s="150">
        <v>3</v>
      </c>
      <c r="B99" s="256" t="s">
        <v>59</v>
      </c>
      <c r="C99" s="256"/>
      <c r="D99" s="164"/>
      <c r="E99" s="165" t="s">
        <v>9</v>
      </c>
      <c r="F99" s="98">
        <v>0</v>
      </c>
      <c r="G99" s="98">
        <v>50</v>
      </c>
      <c r="H99" s="181">
        <v>416863</v>
      </c>
      <c r="I99" s="144">
        <f t="shared" si="6"/>
        <v>20843150</v>
      </c>
      <c r="J99" s="98">
        <v>50</v>
      </c>
      <c r="K99" s="144">
        <f t="shared" si="7"/>
        <v>20843150</v>
      </c>
      <c r="L99" s="208">
        <f t="shared" si="8"/>
        <v>1</v>
      </c>
      <c r="M99" s="208">
        <v>0</v>
      </c>
    </row>
    <row r="100" spans="1:13" ht="186.5" customHeight="1" x14ac:dyDescent="0.35">
      <c r="A100" s="150">
        <v>4</v>
      </c>
      <c r="B100" s="249" t="s">
        <v>60</v>
      </c>
      <c r="C100" s="249"/>
      <c r="D100" s="94"/>
      <c r="E100" s="98" t="s">
        <v>9</v>
      </c>
      <c r="F100" s="98">
        <v>0</v>
      </c>
      <c r="G100" s="98">
        <v>40</v>
      </c>
      <c r="H100" s="145">
        <v>569396</v>
      </c>
      <c r="I100" s="144">
        <f t="shared" si="6"/>
        <v>22775840</v>
      </c>
      <c r="J100" s="98">
        <v>40</v>
      </c>
      <c r="K100" s="144">
        <f t="shared" si="7"/>
        <v>22775840</v>
      </c>
      <c r="L100" s="208">
        <f t="shared" si="8"/>
        <v>1</v>
      </c>
      <c r="M100" s="208">
        <v>0</v>
      </c>
    </row>
    <row r="101" spans="1:13" ht="74.5" customHeight="1" x14ac:dyDescent="0.35">
      <c r="A101" s="150">
        <v>5</v>
      </c>
      <c r="B101" s="249" t="s">
        <v>55</v>
      </c>
      <c r="C101" s="249"/>
      <c r="D101" s="94"/>
      <c r="E101" s="101" t="s">
        <v>9</v>
      </c>
      <c r="F101" s="98">
        <v>0</v>
      </c>
      <c r="G101" s="101">
        <v>2</v>
      </c>
      <c r="H101" s="143">
        <v>2843148</v>
      </c>
      <c r="I101" s="144">
        <f t="shared" si="6"/>
        <v>5686296</v>
      </c>
      <c r="J101" s="101">
        <v>2</v>
      </c>
      <c r="K101" s="144">
        <f t="shared" si="7"/>
        <v>5686296</v>
      </c>
      <c r="L101" s="208">
        <f t="shared" si="8"/>
        <v>1</v>
      </c>
      <c r="M101" s="208">
        <v>0</v>
      </c>
    </row>
    <row r="102" spans="1:13" ht="211" customHeight="1" x14ac:dyDescent="0.35">
      <c r="A102" s="150">
        <v>6</v>
      </c>
      <c r="B102" s="249" t="s">
        <v>69</v>
      </c>
      <c r="C102" s="249"/>
      <c r="D102" s="94"/>
      <c r="E102" s="98" t="s">
        <v>9</v>
      </c>
      <c r="F102" s="98">
        <v>0</v>
      </c>
      <c r="G102" s="98">
        <v>150</v>
      </c>
      <c r="H102" s="145">
        <v>488662</v>
      </c>
      <c r="I102" s="144">
        <f t="shared" si="6"/>
        <v>73299300</v>
      </c>
      <c r="J102" s="98">
        <v>150</v>
      </c>
      <c r="K102" s="144">
        <f t="shared" si="7"/>
        <v>73299300</v>
      </c>
      <c r="L102" s="208">
        <f t="shared" si="8"/>
        <v>1</v>
      </c>
      <c r="M102" s="208">
        <v>0</v>
      </c>
    </row>
    <row r="103" spans="1:13" ht="346" customHeight="1" x14ac:dyDescent="0.35">
      <c r="A103" s="150">
        <v>7</v>
      </c>
      <c r="B103" s="249" t="s">
        <v>73</v>
      </c>
      <c r="C103" s="249"/>
      <c r="D103" s="94"/>
      <c r="E103" s="98" t="s">
        <v>9</v>
      </c>
      <c r="F103" s="98">
        <v>0</v>
      </c>
      <c r="G103" s="98">
        <v>10</v>
      </c>
      <c r="H103" s="145">
        <v>1530578</v>
      </c>
      <c r="I103" s="144">
        <f t="shared" si="6"/>
        <v>15305780</v>
      </c>
      <c r="J103" s="98">
        <v>10</v>
      </c>
      <c r="K103" s="144">
        <f t="shared" si="7"/>
        <v>15305780</v>
      </c>
      <c r="L103" s="208">
        <f t="shared" si="8"/>
        <v>1</v>
      </c>
      <c r="M103" s="208">
        <v>0</v>
      </c>
    </row>
    <row r="104" spans="1:13" ht="130" customHeight="1" x14ac:dyDescent="0.35">
      <c r="A104" s="150">
        <v>8</v>
      </c>
      <c r="B104" s="249" t="s">
        <v>75</v>
      </c>
      <c r="C104" s="249"/>
      <c r="D104" s="27"/>
      <c r="E104" s="98" t="s">
        <v>9</v>
      </c>
      <c r="F104" s="98">
        <v>0</v>
      </c>
      <c r="G104" s="98">
        <v>5</v>
      </c>
      <c r="H104" s="145">
        <v>4046000</v>
      </c>
      <c r="I104" s="144">
        <f t="shared" si="6"/>
        <v>20230000</v>
      </c>
      <c r="J104" s="98">
        <v>5</v>
      </c>
      <c r="K104" s="144">
        <f t="shared" si="7"/>
        <v>20230000</v>
      </c>
      <c r="L104" s="208">
        <f t="shared" si="8"/>
        <v>1</v>
      </c>
      <c r="M104" s="208">
        <v>0</v>
      </c>
    </row>
    <row r="105" spans="1:13" x14ac:dyDescent="0.35">
      <c r="A105" s="247" t="s">
        <v>7</v>
      </c>
      <c r="B105" s="247"/>
      <c r="C105" s="247"/>
      <c r="D105" s="247"/>
      <c r="I105" s="188">
        <f>SUM(I97:I104)</f>
        <v>212330114</v>
      </c>
      <c r="J105" s="207"/>
      <c r="K105" s="188">
        <f>SUM(K97:K104)</f>
        <v>212330114</v>
      </c>
    </row>
    <row r="106" spans="1:13" x14ac:dyDescent="0.35">
      <c r="A106" s="247" t="s">
        <v>91</v>
      </c>
      <c r="B106" s="247"/>
      <c r="C106" s="247"/>
      <c r="D106" s="247"/>
      <c r="K106" s="200">
        <f>G92</f>
        <v>240900000</v>
      </c>
    </row>
    <row r="107" spans="1:13" x14ac:dyDescent="0.35">
      <c r="A107" s="247" t="s">
        <v>90</v>
      </c>
      <c r="B107" s="247"/>
      <c r="C107" s="247"/>
      <c r="D107" s="247"/>
      <c r="K107" s="200">
        <f>K106-K105</f>
        <v>28569886</v>
      </c>
    </row>
    <row r="109" spans="1:13" ht="15" thickBot="1" x14ac:dyDescent="0.4"/>
    <row r="110" spans="1:13" x14ac:dyDescent="0.35">
      <c r="A110" s="273" t="s">
        <v>93</v>
      </c>
      <c r="B110" s="274"/>
      <c r="C110" s="269" t="s">
        <v>94</v>
      </c>
      <c r="D110" s="273" t="s">
        <v>95</v>
      </c>
      <c r="E110" s="285"/>
      <c r="F110" s="274"/>
      <c r="G110" s="269" t="s">
        <v>96</v>
      </c>
      <c r="H110" s="269" t="s">
        <v>97</v>
      </c>
      <c r="I110" s="269" t="s">
        <v>103</v>
      </c>
      <c r="J110" s="269" t="s">
        <v>88</v>
      </c>
      <c r="K110" s="269" t="s">
        <v>100</v>
      </c>
      <c r="L110" s="269" t="s">
        <v>87</v>
      </c>
    </row>
    <row r="111" spans="1:13" ht="25" customHeight="1" thickBot="1" x14ac:dyDescent="0.4">
      <c r="A111" s="275" t="s">
        <v>98</v>
      </c>
      <c r="B111" s="276"/>
      <c r="C111" s="270"/>
      <c r="D111" s="275"/>
      <c r="E111" s="286"/>
      <c r="F111" s="276"/>
      <c r="G111" s="270"/>
      <c r="H111" s="270"/>
      <c r="I111" s="270"/>
      <c r="J111" s="270"/>
      <c r="K111" s="270"/>
      <c r="L111" s="270"/>
    </row>
    <row r="112" spans="1:13" ht="25.5" customHeight="1" thickBot="1" x14ac:dyDescent="0.4">
      <c r="A112" s="277" t="s">
        <v>41</v>
      </c>
      <c r="B112" s="278"/>
      <c r="C112" s="271">
        <v>10</v>
      </c>
      <c r="D112" s="277" t="s">
        <v>45</v>
      </c>
      <c r="E112" s="287"/>
      <c r="F112" s="278"/>
      <c r="G112" s="209" t="s">
        <v>99</v>
      </c>
      <c r="H112" s="210">
        <v>8189136</v>
      </c>
      <c r="I112" s="211">
        <f>I8</f>
        <v>31178615</v>
      </c>
      <c r="J112" s="215">
        <f>K8</f>
        <v>8062132</v>
      </c>
      <c r="K112" s="219">
        <f t="shared" ref="K112:K119" si="9">H112-J112</f>
        <v>127004</v>
      </c>
      <c r="L112" s="222">
        <f>J112/I112</f>
        <v>0.25857890095502961</v>
      </c>
    </row>
    <row r="113" spans="1:12" ht="18" customHeight="1" thickBot="1" x14ac:dyDescent="0.4">
      <c r="A113" s="279"/>
      <c r="B113" s="280"/>
      <c r="C113" s="272"/>
      <c r="D113" s="279"/>
      <c r="E113" s="288"/>
      <c r="F113" s="280"/>
      <c r="G113" s="209" t="s">
        <v>53</v>
      </c>
      <c r="H113" s="210">
        <v>24011960</v>
      </c>
      <c r="I113" s="217">
        <f>I20</f>
        <v>56744343</v>
      </c>
      <c r="J113" s="218">
        <f>K20</f>
        <v>23751799</v>
      </c>
      <c r="K113" s="221">
        <f t="shared" si="9"/>
        <v>260161</v>
      </c>
      <c r="L113" s="222">
        <f t="shared" ref="L113:L119" si="10">J113/I113</f>
        <v>0.41857562788241287</v>
      </c>
    </row>
    <row r="114" spans="1:12" ht="18" customHeight="1" thickBot="1" x14ac:dyDescent="0.4">
      <c r="A114" s="283" t="s">
        <v>58</v>
      </c>
      <c r="B114" s="284"/>
      <c r="C114" s="209">
        <v>10</v>
      </c>
      <c r="D114" s="283" t="s">
        <v>57</v>
      </c>
      <c r="E114" s="289"/>
      <c r="F114" s="284"/>
      <c r="G114" s="209" t="s">
        <v>53</v>
      </c>
      <c r="H114" s="210">
        <v>10438572</v>
      </c>
      <c r="I114" s="211">
        <f>I87</f>
        <v>18440659</v>
      </c>
      <c r="J114" s="216">
        <f>K87</f>
        <v>10245521</v>
      </c>
      <c r="K114" s="220">
        <f t="shared" si="9"/>
        <v>193051</v>
      </c>
      <c r="L114" s="222">
        <f t="shared" si="10"/>
        <v>0.55559408153472167</v>
      </c>
    </row>
    <row r="115" spans="1:12" ht="18" customHeight="1" thickBot="1" x14ac:dyDescent="0.4">
      <c r="A115" s="277" t="s">
        <v>41</v>
      </c>
      <c r="B115" s="278"/>
      <c r="C115" s="271">
        <v>16</v>
      </c>
      <c r="D115" s="277" t="s">
        <v>45</v>
      </c>
      <c r="E115" s="287"/>
      <c r="F115" s="278"/>
      <c r="G115" s="209" t="s">
        <v>101</v>
      </c>
      <c r="H115" s="210">
        <v>13394520</v>
      </c>
      <c r="I115" s="217">
        <f>I32</f>
        <v>22135000</v>
      </c>
      <c r="J115" s="218">
        <f>K32</f>
        <v>13281000</v>
      </c>
      <c r="K115" s="221">
        <f t="shared" si="9"/>
        <v>113520</v>
      </c>
      <c r="L115" s="222">
        <f t="shared" si="10"/>
        <v>0.6</v>
      </c>
    </row>
    <row r="116" spans="1:12" ht="18" customHeight="1" thickBot="1" x14ac:dyDescent="0.4">
      <c r="A116" s="291"/>
      <c r="B116" s="293"/>
      <c r="C116" s="290"/>
      <c r="D116" s="291"/>
      <c r="E116" s="292"/>
      <c r="F116" s="293"/>
      <c r="G116" s="209" t="s">
        <v>65</v>
      </c>
      <c r="H116" s="210">
        <v>7000000</v>
      </c>
      <c r="I116" s="211">
        <f>I43</f>
        <v>10537117</v>
      </c>
      <c r="J116" s="216">
        <f>K43</f>
        <v>0</v>
      </c>
      <c r="K116" s="220">
        <f t="shared" si="9"/>
        <v>7000000</v>
      </c>
      <c r="L116" s="226">
        <f t="shared" si="10"/>
        <v>0</v>
      </c>
    </row>
    <row r="117" spans="1:12" ht="18" customHeight="1" thickBot="1" x14ac:dyDescent="0.4">
      <c r="A117" s="291"/>
      <c r="B117" s="293"/>
      <c r="C117" s="290"/>
      <c r="D117" s="291"/>
      <c r="E117" s="292"/>
      <c r="F117" s="293"/>
      <c r="G117" s="209" t="s">
        <v>67</v>
      </c>
      <c r="H117" s="210">
        <v>38677068</v>
      </c>
      <c r="I117" s="217">
        <f>I54</f>
        <v>88500000</v>
      </c>
      <c r="J117" s="218">
        <f>K54</f>
        <v>38645000</v>
      </c>
      <c r="K117" s="221">
        <f t="shared" si="9"/>
        <v>32068</v>
      </c>
      <c r="L117" s="222">
        <f t="shared" si="10"/>
        <v>0.43666666666666665</v>
      </c>
    </row>
    <row r="118" spans="1:12" ht="18" customHeight="1" thickBot="1" x14ac:dyDescent="0.4">
      <c r="A118" s="291"/>
      <c r="B118" s="293"/>
      <c r="C118" s="290"/>
      <c r="D118" s="291"/>
      <c r="E118" s="292"/>
      <c r="F118" s="293"/>
      <c r="G118" s="209" t="s">
        <v>68</v>
      </c>
      <c r="H118" s="210">
        <v>80004560</v>
      </c>
      <c r="I118" s="211">
        <f>I75</f>
        <v>145531772</v>
      </c>
      <c r="J118" s="216">
        <f>K75</f>
        <v>79963685</v>
      </c>
      <c r="K118" s="220">
        <f t="shared" si="9"/>
        <v>40875</v>
      </c>
      <c r="L118" s="222">
        <f t="shared" si="10"/>
        <v>0.54945860894210785</v>
      </c>
    </row>
    <row r="119" spans="1:12" ht="18" customHeight="1" thickBot="1" x14ac:dyDescent="0.4">
      <c r="A119" s="279"/>
      <c r="B119" s="280"/>
      <c r="C119" s="272"/>
      <c r="D119" s="279"/>
      <c r="E119" s="288"/>
      <c r="F119" s="280"/>
      <c r="G119" s="209" t="s">
        <v>92</v>
      </c>
      <c r="H119" s="210">
        <v>240900000</v>
      </c>
      <c r="I119" s="217">
        <f>I105</f>
        <v>212330114</v>
      </c>
      <c r="J119" s="218">
        <f>K105</f>
        <v>212330114</v>
      </c>
      <c r="K119" s="221">
        <f t="shared" si="9"/>
        <v>28569886</v>
      </c>
      <c r="L119" s="225">
        <f t="shared" si="10"/>
        <v>1</v>
      </c>
    </row>
    <row r="120" spans="1:12" ht="15" thickBot="1" x14ac:dyDescent="0.4">
      <c r="A120" s="281" t="s">
        <v>102</v>
      </c>
      <c r="B120" s="282"/>
      <c r="C120" s="282"/>
      <c r="D120" s="282"/>
      <c r="E120" s="282"/>
      <c r="F120" s="282"/>
      <c r="G120" s="212"/>
      <c r="H120" s="214">
        <f>SUM(H112:H119)</f>
        <v>422615816</v>
      </c>
      <c r="I120" s="224">
        <f>SUM(I112:I119)</f>
        <v>585397620</v>
      </c>
      <c r="J120" s="213">
        <f>SUM(J112:J119)</f>
        <v>386279251</v>
      </c>
      <c r="K120" s="214">
        <f>SUM(K112:K119)</f>
        <v>36336565</v>
      </c>
      <c r="L120" s="223">
        <f>J120/I120</f>
        <v>0.65985791161911456</v>
      </c>
    </row>
  </sheetData>
  <mergeCells count="142">
    <mergeCell ref="A120:F120"/>
    <mergeCell ref="L110:L111"/>
    <mergeCell ref="I110:I111"/>
    <mergeCell ref="A114:B114"/>
    <mergeCell ref="D110:F111"/>
    <mergeCell ref="D112:F113"/>
    <mergeCell ref="D114:F114"/>
    <mergeCell ref="J110:J111"/>
    <mergeCell ref="K110:K111"/>
    <mergeCell ref="C115:C119"/>
    <mergeCell ref="D115:F119"/>
    <mergeCell ref="A115:B119"/>
    <mergeCell ref="A107:D107"/>
    <mergeCell ref="C110:C111"/>
    <mergeCell ref="G110:G111"/>
    <mergeCell ref="H110:H111"/>
    <mergeCell ref="C112:C113"/>
    <mergeCell ref="A110:B110"/>
    <mergeCell ref="A111:B111"/>
    <mergeCell ref="A112:B113"/>
    <mergeCell ref="B98:C98"/>
    <mergeCell ref="B99:C99"/>
    <mergeCell ref="B100:C100"/>
    <mergeCell ref="B101:C101"/>
    <mergeCell ref="B102:C102"/>
    <mergeCell ref="B103:C103"/>
    <mergeCell ref="B104:C104"/>
    <mergeCell ref="A105:D105"/>
    <mergeCell ref="A106:D106"/>
    <mergeCell ref="A94:E94"/>
    <mergeCell ref="F94:M94"/>
    <mergeCell ref="A95:E95"/>
    <mergeCell ref="F95:M95"/>
    <mergeCell ref="B96:C96"/>
    <mergeCell ref="B97:C97"/>
    <mergeCell ref="G1:H1"/>
    <mergeCell ref="C12:D12"/>
    <mergeCell ref="G12:H12"/>
    <mergeCell ref="B17:C17"/>
    <mergeCell ref="A14:E14"/>
    <mergeCell ref="C1:D1"/>
    <mergeCell ref="A3:E3"/>
    <mergeCell ref="A4:E4"/>
    <mergeCell ref="C92:D92"/>
    <mergeCell ref="G92:H92"/>
    <mergeCell ref="B86:C86"/>
    <mergeCell ref="C25:D25"/>
    <mergeCell ref="G25:H25"/>
    <mergeCell ref="A27:E27"/>
    <mergeCell ref="C80:D80"/>
    <mergeCell ref="G80:H80"/>
    <mergeCell ref="A81:E81"/>
    <mergeCell ref="A82:E82"/>
    <mergeCell ref="F28:M28"/>
    <mergeCell ref="F82:M82"/>
    <mergeCell ref="F81:M81"/>
    <mergeCell ref="G48:H48"/>
    <mergeCell ref="F40:M40"/>
    <mergeCell ref="F39:M39"/>
    <mergeCell ref="A32:D32"/>
    <mergeCell ref="C37:D37"/>
    <mergeCell ref="G37:H37"/>
    <mergeCell ref="A39:E39"/>
    <mergeCell ref="B29:C29"/>
    <mergeCell ref="B30:C30"/>
    <mergeCell ref="B31:C31"/>
    <mergeCell ref="G58:H58"/>
    <mergeCell ref="A60:E60"/>
    <mergeCell ref="A61:E61"/>
    <mergeCell ref="F61:M61"/>
    <mergeCell ref="F60:M60"/>
    <mergeCell ref="A50:E50"/>
    <mergeCell ref="A51:E51"/>
    <mergeCell ref="B52:C52"/>
    <mergeCell ref="B53:C53"/>
    <mergeCell ref="F51:M51"/>
    <mergeCell ref="F50:M50"/>
    <mergeCell ref="F27:M27"/>
    <mergeCell ref="B73:C73"/>
    <mergeCell ref="B74:C74"/>
    <mergeCell ref="J67:J68"/>
    <mergeCell ref="K67:K68"/>
    <mergeCell ref="L67:L68"/>
    <mergeCell ref="M67:M68"/>
    <mergeCell ref="I67:I68"/>
    <mergeCell ref="B69:C69"/>
    <mergeCell ref="B70:C70"/>
    <mergeCell ref="B71:C71"/>
    <mergeCell ref="B72:C72"/>
    <mergeCell ref="D67:D68"/>
    <mergeCell ref="B68:C68"/>
    <mergeCell ref="E67:E68"/>
    <mergeCell ref="F67:F68"/>
    <mergeCell ref="G67:G68"/>
    <mergeCell ref="H67:H68"/>
    <mergeCell ref="B62:C62"/>
    <mergeCell ref="B63:C63"/>
    <mergeCell ref="B64:C64"/>
    <mergeCell ref="B65:C65"/>
    <mergeCell ref="B66:C66"/>
    <mergeCell ref="A28:E28"/>
    <mergeCell ref="A8:D8"/>
    <mergeCell ref="A9:D9"/>
    <mergeCell ref="A10:D10"/>
    <mergeCell ref="A20:D20"/>
    <mergeCell ref="A21:D21"/>
    <mergeCell ref="A22:D22"/>
    <mergeCell ref="F4:M4"/>
    <mergeCell ref="F3:M3"/>
    <mergeCell ref="F15:M15"/>
    <mergeCell ref="F14:M14"/>
    <mergeCell ref="A15:E15"/>
    <mergeCell ref="B16:C16"/>
    <mergeCell ref="B18:C18"/>
    <mergeCell ref="B19:C19"/>
    <mergeCell ref="B6:C6"/>
    <mergeCell ref="B7:C7"/>
    <mergeCell ref="B5:C5"/>
    <mergeCell ref="A88:D88"/>
    <mergeCell ref="A89:D89"/>
    <mergeCell ref="A55:D55"/>
    <mergeCell ref="A56:D56"/>
    <mergeCell ref="A75:D75"/>
    <mergeCell ref="A76:D76"/>
    <mergeCell ref="A77:D77"/>
    <mergeCell ref="A87:D87"/>
    <mergeCell ref="A33:D33"/>
    <mergeCell ref="A34:D34"/>
    <mergeCell ref="A43:D43"/>
    <mergeCell ref="A44:D44"/>
    <mergeCell ref="A45:D45"/>
    <mergeCell ref="A54:D54"/>
    <mergeCell ref="A67:A68"/>
    <mergeCell ref="B67:C67"/>
    <mergeCell ref="C58:D58"/>
    <mergeCell ref="A40:E40"/>
    <mergeCell ref="B41:C41"/>
    <mergeCell ref="B42:C42"/>
    <mergeCell ref="C48:D48"/>
    <mergeCell ref="B83:C83"/>
    <mergeCell ref="B84:C84"/>
    <mergeCell ref="B85:C85"/>
  </mergeCells>
  <pageMargins left="0.7" right="0.7" top="0.75" bottom="0.75" header="0.3" footer="0.3"/>
  <pageSetup paperSize="9" scale="43" orientation="portrait" r:id="rId1"/>
  <rowBreaks count="1" manualBreakCount="1">
    <brk id="97" max="13" man="1"/>
  </rowBreaks>
  <colBreaks count="1" manualBreakCount="1">
    <brk id="13" max="120"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489AC-F1B1-4CFD-8D8D-86F22ECB6E5D}">
  <sheetPr>
    <tabColor rgb="FFCCFFCC"/>
  </sheetPr>
  <dimension ref="A1:W3"/>
  <sheetViews>
    <sheetView zoomScale="40" zoomScaleNormal="40" workbookViewId="0">
      <selection activeCell="B3" sqref="B3:C3"/>
    </sheetView>
  </sheetViews>
  <sheetFormatPr baseColWidth="10" defaultRowHeight="14.5" x14ac:dyDescent="0.35"/>
  <cols>
    <col min="2" max="3" width="21.6328125" customWidth="1"/>
    <col min="4" max="4" width="27.36328125" customWidth="1"/>
    <col min="5" max="6" width="17.26953125" customWidth="1"/>
    <col min="7" max="8" width="17.26953125" hidden="1" customWidth="1"/>
    <col min="9" max="9" width="18.453125" hidden="1" customWidth="1"/>
    <col min="10" max="10" width="19.81640625" hidden="1" customWidth="1"/>
    <col min="11" max="11" width="16.36328125" hidden="1" customWidth="1"/>
    <col min="12" max="12" width="19.7265625" hidden="1" customWidth="1"/>
    <col min="13" max="13" width="19.08984375" hidden="1" customWidth="1"/>
    <col min="14" max="20" width="17.54296875" hidden="1" customWidth="1"/>
    <col min="21" max="21" width="0.90625" customWidth="1"/>
    <col min="22" max="23" width="16.90625" customWidth="1"/>
  </cols>
  <sheetData>
    <row r="1" spans="1:23" ht="32.5" customHeight="1" thickBot="1" x14ac:dyDescent="0.45">
      <c r="A1" s="235"/>
      <c r="B1" s="235"/>
      <c r="C1" s="235"/>
      <c r="D1" s="235"/>
      <c r="E1" s="235"/>
      <c r="F1" s="235"/>
      <c r="G1" s="235"/>
      <c r="H1" s="235"/>
      <c r="I1" s="227" t="s">
        <v>104</v>
      </c>
      <c r="J1" s="228" t="s">
        <v>105</v>
      </c>
      <c r="K1" s="300" t="s">
        <v>106</v>
      </c>
      <c r="L1" s="229" t="s">
        <v>113</v>
      </c>
      <c r="M1" s="302" t="s">
        <v>107</v>
      </c>
      <c r="N1" s="296" t="s">
        <v>114</v>
      </c>
      <c r="O1" s="296" t="s">
        <v>31</v>
      </c>
      <c r="P1" s="296" t="s">
        <v>32</v>
      </c>
      <c r="Q1" s="296" t="s">
        <v>33</v>
      </c>
      <c r="R1" s="296" t="s">
        <v>34</v>
      </c>
      <c r="S1" s="296" t="s">
        <v>115</v>
      </c>
      <c r="T1" s="296" t="s">
        <v>116</v>
      </c>
      <c r="U1" s="241"/>
      <c r="V1" s="298" t="s">
        <v>78</v>
      </c>
      <c r="W1" s="294" t="s">
        <v>79</v>
      </c>
    </row>
    <row r="2" spans="1:23" ht="32.5" thickBot="1" x14ac:dyDescent="0.4">
      <c r="A2" s="236" t="s">
        <v>3</v>
      </c>
      <c r="B2" s="304" t="s">
        <v>4</v>
      </c>
      <c r="C2" s="304"/>
      <c r="D2" s="237" t="s">
        <v>11</v>
      </c>
      <c r="E2" s="236" t="s">
        <v>0</v>
      </c>
      <c r="F2" s="236" t="s">
        <v>108</v>
      </c>
      <c r="G2" s="236" t="s">
        <v>110</v>
      </c>
      <c r="H2" s="236" t="s">
        <v>111</v>
      </c>
      <c r="I2" s="233" t="s">
        <v>109</v>
      </c>
      <c r="J2" s="230">
        <v>5.1999999999999998E-2</v>
      </c>
      <c r="K2" s="301"/>
      <c r="L2" s="231">
        <v>5.0999999999999997E-2</v>
      </c>
      <c r="M2" s="303"/>
      <c r="N2" s="297"/>
      <c r="O2" s="297"/>
      <c r="P2" s="297"/>
      <c r="Q2" s="297"/>
      <c r="R2" s="297"/>
      <c r="S2" s="297"/>
      <c r="T2" s="297"/>
      <c r="U2" s="241"/>
      <c r="V2" s="299"/>
      <c r="W2" s="295"/>
    </row>
    <row r="3" spans="1:23" ht="401.5" customHeight="1" x14ac:dyDescent="0.4">
      <c r="A3" s="238"/>
      <c r="B3" s="305" t="s">
        <v>112</v>
      </c>
      <c r="C3" s="306"/>
      <c r="D3" s="238"/>
      <c r="E3" s="239" t="s">
        <v>43</v>
      </c>
      <c r="F3" s="239">
        <v>1</v>
      </c>
      <c r="G3" s="240">
        <v>299900</v>
      </c>
      <c r="H3" s="240">
        <v>295000</v>
      </c>
      <c r="I3" s="234">
        <v>300699.62</v>
      </c>
      <c r="J3" s="232">
        <f>I3*J2</f>
        <v>15636.380239999999</v>
      </c>
      <c r="K3" s="232">
        <f>I3+J3</f>
        <v>316336.00023999996</v>
      </c>
      <c r="L3" s="232">
        <f>K3*L2</f>
        <v>16133.136012239996</v>
      </c>
      <c r="M3" s="242">
        <f>K3+L3</f>
        <v>332469.13625223999</v>
      </c>
      <c r="N3" s="243">
        <f>MIN(G3,H3,M3)</f>
        <v>295000</v>
      </c>
      <c r="O3" s="243">
        <f>AVERAGE(G3,H3,M3)</f>
        <v>309123.04541741335</v>
      </c>
      <c r="P3" s="243">
        <f>MEDIAN(G3,H3,M3)</f>
        <v>299900</v>
      </c>
      <c r="Q3" s="243">
        <f>GEOMEAN(G3,H3,M3)</f>
        <v>308685.7672059263</v>
      </c>
      <c r="R3" s="243">
        <f>HARMEAN(G3,H3,M3)</f>
        <v>308259.08346165135</v>
      </c>
      <c r="S3" s="243">
        <f>STDEV(G3,H3,M3)</f>
        <v>20366.208973468358</v>
      </c>
      <c r="T3" s="244">
        <f>S3/O3</f>
        <v>6.588382611839104E-2</v>
      </c>
      <c r="U3" s="96"/>
      <c r="V3" s="245">
        <f>N3</f>
        <v>295000</v>
      </c>
      <c r="W3" s="246" t="s">
        <v>84</v>
      </c>
    </row>
  </sheetData>
  <mergeCells count="13">
    <mergeCell ref="O1:O2"/>
    <mergeCell ref="K1:K2"/>
    <mergeCell ref="M1:M2"/>
    <mergeCell ref="B2:C2"/>
    <mergeCell ref="B3:C3"/>
    <mergeCell ref="N1:N2"/>
    <mergeCell ref="W1:W2"/>
    <mergeCell ref="P1:P2"/>
    <mergeCell ref="Q1:Q2"/>
    <mergeCell ref="R1:R2"/>
    <mergeCell ref="S1:S2"/>
    <mergeCell ref="T1:T2"/>
    <mergeCell ref="V1:V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28F93-7949-43AD-81C0-24D853898090}">
  <sheetPr>
    <tabColor rgb="FFCCFFCC"/>
  </sheetPr>
  <dimension ref="A2:AI23"/>
  <sheetViews>
    <sheetView view="pageBreakPreview" zoomScale="40" zoomScaleNormal="65" zoomScaleSheetLayoutView="40" zoomScalePageLayoutView="80" workbookViewId="0">
      <selection activeCell="G21" sqref="G3:G21"/>
    </sheetView>
  </sheetViews>
  <sheetFormatPr baseColWidth="10" defaultColWidth="14.453125" defaultRowHeight="15" customHeight="1" x14ac:dyDescent="0.35"/>
  <cols>
    <col min="1" max="1" width="1.453125" style="2" customWidth="1"/>
    <col min="2" max="2" width="2.26953125" style="2" customWidth="1"/>
    <col min="3" max="3" width="8.08984375" style="2" customWidth="1"/>
    <col min="4" max="4" width="20.81640625" style="2" customWidth="1"/>
    <col min="5" max="5" width="88" style="2" customWidth="1"/>
    <col min="6" max="6" width="42.7265625" style="2" customWidth="1"/>
    <col min="7" max="7" width="12.6328125" style="2" customWidth="1"/>
    <col min="8" max="8" width="16.26953125" style="2" customWidth="1"/>
    <col min="9" max="11" width="24.7265625" style="2" customWidth="1"/>
    <col min="12" max="12" width="24.54296875" style="2" customWidth="1"/>
    <col min="13" max="13" width="1.453125" style="1" customWidth="1"/>
    <col min="14" max="14" width="23.26953125" style="23" customWidth="1"/>
    <col min="15" max="16" width="23.26953125" style="2" customWidth="1"/>
    <col min="17" max="17" width="25.08984375" style="2" customWidth="1"/>
    <col min="18" max="18" width="1.6328125" style="2" customWidth="1"/>
    <col min="19" max="21" width="20.6328125" style="85" customWidth="1"/>
    <col min="22" max="22" width="23.90625" style="85" customWidth="1"/>
    <col min="23" max="23" width="1.6328125" style="2" customWidth="1"/>
    <col min="24" max="25" width="26.90625" style="2" customWidth="1"/>
    <col min="26" max="28" width="26.90625" style="119" customWidth="1"/>
    <col min="29" max="29" width="27" style="2" customWidth="1"/>
    <col min="30" max="30" width="25.08984375" style="2" customWidth="1"/>
    <col min="31" max="31" width="1.453125" style="2" customWidth="1"/>
    <col min="32" max="32" width="22.453125" style="116" customWidth="1"/>
    <col min="33" max="33" width="21.08984375" style="124" customWidth="1"/>
    <col min="34" max="34" width="22.6328125" style="2" customWidth="1"/>
    <col min="35" max="35" width="20.6328125" style="2" customWidth="1"/>
    <col min="36" max="16384" width="14.453125" style="2"/>
  </cols>
  <sheetData>
    <row r="2" spans="1:35" s="10" customFormat="1" ht="33.5" customHeight="1" x14ac:dyDescent="0.45">
      <c r="A2" s="8"/>
      <c r="B2" s="9"/>
      <c r="C2" s="12"/>
      <c r="D2" s="12"/>
      <c r="E2" s="12"/>
      <c r="F2" s="12"/>
      <c r="G2" s="12"/>
      <c r="H2" s="12"/>
      <c r="I2" s="349" t="s">
        <v>28</v>
      </c>
      <c r="J2" s="349"/>
      <c r="K2" s="349"/>
      <c r="L2" s="350"/>
      <c r="M2" s="6"/>
      <c r="N2" s="351" t="s">
        <v>29</v>
      </c>
      <c r="O2" s="351"/>
      <c r="P2" s="351"/>
      <c r="Q2" s="352"/>
      <c r="R2" s="11"/>
      <c r="S2" s="353" t="s">
        <v>39</v>
      </c>
      <c r="T2" s="353"/>
      <c r="U2" s="353"/>
      <c r="V2" s="354"/>
      <c r="W2" s="11"/>
      <c r="X2" s="338" t="s">
        <v>30</v>
      </c>
      <c r="Y2" s="338" t="s">
        <v>31</v>
      </c>
      <c r="Z2" s="347" t="s">
        <v>32</v>
      </c>
      <c r="AA2" s="347" t="s">
        <v>33</v>
      </c>
      <c r="AB2" s="347" t="s">
        <v>34</v>
      </c>
      <c r="AC2" s="338" t="s">
        <v>35</v>
      </c>
      <c r="AD2" s="338" t="s">
        <v>36</v>
      </c>
      <c r="AE2" s="11"/>
      <c r="AF2" s="340" t="s">
        <v>78</v>
      </c>
      <c r="AG2" s="342" t="s">
        <v>79</v>
      </c>
      <c r="AH2" s="344" t="s">
        <v>80</v>
      </c>
    </row>
    <row r="3" spans="1:35" s="7" customFormat="1" ht="60.5" customHeight="1" x14ac:dyDescent="0.35">
      <c r="A3" s="4"/>
      <c r="B3" s="5"/>
      <c r="C3" s="25" t="s">
        <v>3</v>
      </c>
      <c r="D3" s="346" t="s">
        <v>4</v>
      </c>
      <c r="E3" s="346"/>
      <c r="F3" s="26" t="s">
        <v>11</v>
      </c>
      <c r="G3" s="25" t="s">
        <v>0</v>
      </c>
      <c r="H3" s="25" t="s">
        <v>5</v>
      </c>
      <c r="I3" s="59" t="s">
        <v>1</v>
      </c>
      <c r="J3" s="59" t="s">
        <v>2</v>
      </c>
      <c r="K3" s="59" t="s">
        <v>6</v>
      </c>
      <c r="L3" s="59" t="s">
        <v>7</v>
      </c>
      <c r="N3" s="62" t="s">
        <v>1</v>
      </c>
      <c r="O3" s="62" t="s">
        <v>2</v>
      </c>
      <c r="P3" s="62" t="s">
        <v>6</v>
      </c>
      <c r="Q3" s="62" t="s">
        <v>7</v>
      </c>
      <c r="S3" s="71" t="s">
        <v>1</v>
      </c>
      <c r="T3" s="71" t="s">
        <v>2</v>
      </c>
      <c r="U3" s="71" t="s">
        <v>6</v>
      </c>
      <c r="V3" s="71" t="s">
        <v>7</v>
      </c>
      <c r="X3" s="339"/>
      <c r="Y3" s="339"/>
      <c r="Z3" s="348"/>
      <c r="AA3" s="348"/>
      <c r="AB3" s="348"/>
      <c r="AC3" s="339"/>
      <c r="AD3" s="339"/>
      <c r="AF3" s="341"/>
      <c r="AG3" s="343"/>
      <c r="AH3" s="345" t="s">
        <v>81</v>
      </c>
    </row>
    <row r="4" spans="1:35" s="15" customFormat="1" ht="345.5" customHeight="1" x14ac:dyDescent="0.35">
      <c r="B4" s="16"/>
      <c r="C4" s="24">
        <v>1</v>
      </c>
      <c r="D4" s="310" t="s">
        <v>8</v>
      </c>
      <c r="E4" s="310"/>
      <c r="F4" s="27"/>
      <c r="G4" s="24" t="s">
        <v>9</v>
      </c>
      <c r="H4" s="24">
        <v>27</v>
      </c>
      <c r="I4" s="39">
        <v>2033614</v>
      </c>
      <c r="J4" s="39">
        <f t="shared" ref="J4:J14" si="0">I4*19%</f>
        <v>386386.66000000003</v>
      </c>
      <c r="K4" s="30">
        <f t="shared" ref="K4:K14" si="1">I4+J4</f>
        <v>2420000.66</v>
      </c>
      <c r="L4" s="31">
        <f>H4*K4</f>
        <v>65340017.820000008</v>
      </c>
      <c r="M4" s="32"/>
      <c r="N4" s="47">
        <v>2181513.2000000002</v>
      </c>
      <c r="O4" s="48">
        <f t="shared" ref="O4:O14" si="2">N4*19%</f>
        <v>414487.50800000003</v>
      </c>
      <c r="P4" s="48">
        <f t="shared" ref="P4:P14" si="3">N4+O4</f>
        <v>2596000.7080000001</v>
      </c>
      <c r="Q4" s="56">
        <f>H4*P4</f>
        <v>70092019.115999997</v>
      </c>
      <c r="S4" s="72">
        <v>240900</v>
      </c>
      <c r="T4" s="72">
        <f>S4*19%</f>
        <v>45771</v>
      </c>
      <c r="U4" s="72">
        <f>S4+T4</f>
        <v>286671</v>
      </c>
      <c r="V4" s="72">
        <f t="shared" ref="V4:V13" si="4">H4*U4</f>
        <v>7740117</v>
      </c>
      <c r="X4" s="121">
        <f>MIN(K4,P4,U4)</f>
        <v>286671</v>
      </c>
      <c r="Y4" s="121">
        <f>AVERAGE(K4,P4,U4)</f>
        <v>1767557.4560000002</v>
      </c>
      <c r="Z4" s="121">
        <f>MEDIAN(K4,P4,U4)</f>
        <v>2420000.66</v>
      </c>
      <c r="AA4" s="138">
        <f>GEOMEAN(K4,P4,U4)</f>
        <v>1216656.6030289321</v>
      </c>
      <c r="AB4" s="120">
        <f>HARMEAN(K4,P4,U4)</f>
        <v>699830.82560735231</v>
      </c>
      <c r="AC4" s="48">
        <f>STDEV(K4,P4,U4)</f>
        <v>1285500.8852183572</v>
      </c>
      <c r="AD4" s="61">
        <f>AC4/Y4</f>
        <v>0.72727530347299618</v>
      </c>
      <c r="AF4" s="56">
        <f>AA4</f>
        <v>1216656.6030289321</v>
      </c>
      <c r="AG4" s="139" t="s">
        <v>83</v>
      </c>
      <c r="AH4" s="56">
        <f>ROUND(AF4,0)</f>
        <v>1216657</v>
      </c>
      <c r="AI4" s="65">
        <f>H4*AH4</f>
        <v>32849739</v>
      </c>
    </row>
    <row r="5" spans="1:35" s="3" customFormat="1" ht="123.5" customHeight="1" x14ac:dyDescent="0.35">
      <c r="A5" s="13"/>
      <c r="B5" s="13"/>
      <c r="C5" s="24">
        <v>2</v>
      </c>
      <c r="D5" s="337" t="s">
        <v>10</v>
      </c>
      <c r="E5" s="337"/>
      <c r="F5" s="102"/>
      <c r="G5" s="24" t="s">
        <v>9</v>
      </c>
      <c r="H5" s="24">
        <v>1</v>
      </c>
      <c r="I5" s="39">
        <v>5362500</v>
      </c>
      <c r="J5" s="31">
        <f t="shared" si="0"/>
        <v>1018875</v>
      </c>
      <c r="K5" s="30">
        <f t="shared" si="1"/>
        <v>6381375</v>
      </c>
      <c r="L5" s="31">
        <f t="shared" ref="L5:L13" si="5">H5*K5</f>
        <v>6381375</v>
      </c>
      <c r="M5" s="33"/>
      <c r="N5" s="49">
        <v>5752500</v>
      </c>
      <c r="O5" s="50">
        <f t="shared" si="2"/>
        <v>1092975</v>
      </c>
      <c r="P5" s="50">
        <f t="shared" si="3"/>
        <v>6845475</v>
      </c>
      <c r="Q5" s="56">
        <f t="shared" ref="Q5:Q12" si="6">H5*P5</f>
        <v>6845475</v>
      </c>
      <c r="S5" s="73">
        <v>9750000</v>
      </c>
      <c r="T5" s="72">
        <f>S5*19%</f>
        <v>1852500</v>
      </c>
      <c r="U5" s="72">
        <f>S5+T5</f>
        <v>11602500</v>
      </c>
      <c r="V5" s="72">
        <f t="shared" si="4"/>
        <v>11602500</v>
      </c>
      <c r="X5" s="121">
        <f t="shared" ref="X5:X21" si="7">MIN(K5,P5,U5)</f>
        <v>6381375</v>
      </c>
      <c r="Y5" s="121">
        <f t="shared" ref="Y5:Y21" si="8">AVERAGE(K5,P5,U5)</f>
        <v>8276450</v>
      </c>
      <c r="Z5" s="121">
        <f t="shared" ref="Z5:Z21" si="9">MEDIAN(K5,P5,U5)</f>
        <v>6845475</v>
      </c>
      <c r="AA5" s="117">
        <f t="shared" ref="AA5:AA21" si="10">GEOMEAN(K5,P5,U5)</f>
        <v>7973025.3355779527</v>
      </c>
      <c r="AB5" s="120">
        <f t="shared" ref="AB5:AB21" si="11">HARMEAN(K5,P5,U5)</f>
        <v>7712552.9190850109</v>
      </c>
      <c r="AC5" s="120">
        <f t="shared" ref="AC5:AC21" si="12">STDEV(K5,P5,U5)</f>
        <v>2889775.7100465428</v>
      </c>
      <c r="AD5" s="61">
        <f t="shared" ref="AD5:AD21" si="13">AC5/Y5</f>
        <v>0.34915642697612415</v>
      </c>
      <c r="AF5" s="137">
        <f>Z5</f>
        <v>6845475</v>
      </c>
      <c r="AG5" s="136" t="s">
        <v>82</v>
      </c>
      <c r="AH5" s="56">
        <f t="shared" ref="AH5:AH11" si="14">ROUND(AF5,0)</f>
        <v>6845475</v>
      </c>
      <c r="AI5" s="65">
        <f t="shared" ref="AI5:AI17" si="15">H5*AH5</f>
        <v>6845475</v>
      </c>
    </row>
    <row r="6" spans="1:35" s="1" customFormat="1" ht="343.5" customHeight="1" x14ac:dyDescent="0.35">
      <c r="A6" s="13"/>
      <c r="B6" s="13"/>
      <c r="C6" s="24">
        <v>3</v>
      </c>
      <c r="D6" s="310" t="s">
        <v>12</v>
      </c>
      <c r="E6" s="310"/>
      <c r="F6" s="27"/>
      <c r="G6" s="24" t="s">
        <v>9</v>
      </c>
      <c r="H6" s="24">
        <v>370</v>
      </c>
      <c r="I6" s="39">
        <v>508200</v>
      </c>
      <c r="J6" s="31">
        <f t="shared" si="0"/>
        <v>96558</v>
      </c>
      <c r="K6" s="30">
        <f t="shared" si="1"/>
        <v>604758</v>
      </c>
      <c r="L6" s="31">
        <f t="shared" si="5"/>
        <v>223760460</v>
      </c>
      <c r="M6" s="34"/>
      <c r="N6" s="57">
        <v>545160</v>
      </c>
      <c r="O6" s="58">
        <f t="shared" si="2"/>
        <v>103580.4</v>
      </c>
      <c r="P6" s="58">
        <f t="shared" si="3"/>
        <v>648740.4</v>
      </c>
      <c r="Q6" s="56">
        <f>H6*P6</f>
        <v>240033948</v>
      </c>
      <c r="S6" s="74">
        <v>210000</v>
      </c>
      <c r="T6" s="72">
        <f t="shared" ref="T6:T13" si="16">S6*19%</f>
        <v>39900</v>
      </c>
      <c r="U6" s="72">
        <f t="shared" ref="U6:U13" si="17">S6+T6</f>
        <v>249900</v>
      </c>
      <c r="V6" s="72">
        <f t="shared" si="4"/>
        <v>92463000</v>
      </c>
      <c r="X6" s="121">
        <f t="shared" si="7"/>
        <v>249900</v>
      </c>
      <c r="Y6" s="121">
        <f t="shared" si="8"/>
        <v>501132.79999999999</v>
      </c>
      <c r="Z6" s="121">
        <f t="shared" si="9"/>
        <v>604758</v>
      </c>
      <c r="AA6" s="121">
        <f t="shared" si="10"/>
        <v>461111.84041540924</v>
      </c>
      <c r="AB6" s="141">
        <f t="shared" si="11"/>
        <v>416863.3304774515</v>
      </c>
      <c r="AC6" s="48">
        <f t="shared" si="12"/>
        <v>218682.53868180711</v>
      </c>
      <c r="AD6" s="61">
        <f t="shared" si="13"/>
        <v>0.43637642293980183</v>
      </c>
      <c r="AF6" s="57">
        <f>AB6</f>
        <v>416863.3304774515</v>
      </c>
      <c r="AG6" s="140" t="s">
        <v>85</v>
      </c>
      <c r="AH6" s="56">
        <f t="shared" si="14"/>
        <v>416863</v>
      </c>
      <c r="AI6" s="65">
        <f t="shared" si="15"/>
        <v>154239310</v>
      </c>
    </row>
    <row r="7" spans="1:35" ht="268" customHeight="1" x14ac:dyDescent="0.35">
      <c r="A7" s="13"/>
      <c r="B7" s="13"/>
      <c r="C7" s="24">
        <v>4</v>
      </c>
      <c r="D7" s="310" t="s">
        <v>13</v>
      </c>
      <c r="E7" s="310"/>
      <c r="F7" s="27"/>
      <c r="G7" s="24" t="s">
        <v>9</v>
      </c>
      <c r="H7" s="24">
        <v>83</v>
      </c>
      <c r="I7" s="39">
        <v>616000</v>
      </c>
      <c r="J7" s="31">
        <f t="shared" si="0"/>
        <v>117040</v>
      </c>
      <c r="K7" s="30">
        <f t="shared" si="1"/>
        <v>733040</v>
      </c>
      <c r="L7" s="31">
        <f t="shared" si="5"/>
        <v>60842320</v>
      </c>
      <c r="M7" s="34"/>
      <c r="N7" s="51">
        <v>660800</v>
      </c>
      <c r="O7" s="52">
        <f t="shared" si="2"/>
        <v>125552</v>
      </c>
      <c r="P7" s="52">
        <f t="shared" si="3"/>
        <v>786352</v>
      </c>
      <c r="Q7" s="56">
        <f t="shared" si="6"/>
        <v>65267216</v>
      </c>
      <c r="R7" s="14"/>
      <c r="S7" s="75">
        <v>478484</v>
      </c>
      <c r="T7" s="72">
        <f t="shared" si="16"/>
        <v>90911.96</v>
      </c>
      <c r="U7" s="72">
        <f t="shared" si="17"/>
        <v>569395.96</v>
      </c>
      <c r="V7" s="72">
        <f t="shared" si="4"/>
        <v>47259864.68</v>
      </c>
      <c r="W7" s="14"/>
      <c r="X7" s="122">
        <f t="shared" si="7"/>
        <v>569395.96</v>
      </c>
      <c r="Y7" s="121">
        <f t="shared" si="8"/>
        <v>696262.65333333332</v>
      </c>
      <c r="Z7" s="121">
        <f t="shared" si="9"/>
        <v>733040</v>
      </c>
      <c r="AA7" s="121">
        <f t="shared" si="10"/>
        <v>689794.43060252839</v>
      </c>
      <c r="AB7" s="120">
        <f t="shared" si="11"/>
        <v>683040.78616740531</v>
      </c>
      <c r="AC7" s="120">
        <f t="shared" si="12"/>
        <v>113057.11275280511</v>
      </c>
      <c r="AD7" s="61">
        <f t="shared" si="13"/>
        <v>0.16237710325485377</v>
      </c>
      <c r="AE7" s="14"/>
      <c r="AF7" s="134">
        <f>X7</f>
        <v>569395.96</v>
      </c>
      <c r="AG7" s="131" t="s">
        <v>84</v>
      </c>
      <c r="AH7" s="56">
        <f t="shared" si="14"/>
        <v>569396</v>
      </c>
      <c r="AI7" s="65">
        <f t="shared" si="15"/>
        <v>47259868</v>
      </c>
    </row>
    <row r="8" spans="1:35" s="7" customFormat="1" ht="146" customHeight="1" x14ac:dyDescent="0.35">
      <c r="A8" s="13"/>
      <c r="B8" s="13"/>
      <c r="C8" s="24">
        <v>5</v>
      </c>
      <c r="D8" s="337" t="s">
        <v>14</v>
      </c>
      <c r="E8" s="337"/>
      <c r="F8" s="102"/>
      <c r="G8" s="103" t="s">
        <v>9</v>
      </c>
      <c r="H8" s="103">
        <v>18</v>
      </c>
      <c r="I8" s="39">
        <v>1771000</v>
      </c>
      <c r="J8" s="31">
        <f t="shared" si="0"/>
        <v>336490</v>
      </c>
      <c r="K8" s="30">
        <f t="shared" si="1"/>
        <v>2107490</v>
      </c>
      <c r="L8" s="31">
        <f t="shared" si="5"/>
        <v>37934820</v>
      </c>
      <c r="M8" s="35"/>
      <c r="N8" s="51">
        <v>1899900</v>
      </c>
      <c r="O8" s="52">
        <f t="shared" si="2"/>
        <v>360981</v>
      </c>
      <c r="P8" s="52">
        <f t="shared" si="3"/>
        <v>2260881</v>
      </c>
      <c r="Q8" s="56">
        <f t="shared" si="6"/>
        <v>40695858</v>
      </c>
      <c r="S8" s="76">
        <v>3167713</v>
      </c>
      <c r="T8" s="72">
        <f t="shared" si="16"/>
        <v>601865.47</v>
      </c>
      <c r="U8" s="72">
        <f t="shared" si="17"/>
        <v>3769578.4699999997</v>
      </c>
      <c r="V8" s="72">
        <f t="shared" si="4"/>
        <v>67852412.459999993</v>
      </c>
      <c r="X8" s="121">
        <f t="shared" si="7"/>
        <v>2107490</v>
      </c>
      <c r="Y8" s="121">
        <f t="shared" si="8"/>
        <v>2712649.8233333332</v>
      </c>
      <c r="Z8" s="117">
        <f t="shared" si="9"/>
        <v>2260881</v>
      </c>
      <c r="AA8" s="121">
        <f t="shared" si="10"/>
        <v>2618858.3274700963</v>
      </c>
      <c r="AB8" s="120">
        <f t="shared" si="11"/>
        <v>2537888.1193133779</v>
      </c>
      <c r="AC8" s="48">
        <f t="shared" si="12"/>
        <v>918534.60622271849</v>
      </c>
      <c r="AD8" s="61">
        <f t="shared" si="13"/>
        <v>0.33861156656557068</v>
      </c>
      <c r="AF8" s="134">
        <f>AB8</f>
        <v>2537888.1193133779</v>
      </c>
      <c r="AG8" s="128" t="s">
        <v>82</v>
      </c>
      <c r="AH8" s="56">
        <f t="shared" si="14"/>
        <v>2537888</v>
      </c>
      <c r="AI8" s="65">
        <f t="shared" si="15"/>
        <v>45681984</v>
      </c>
    </row>
    <row r="9" spans="1:35" ht="116.5" customHeight="1" x14ac:dyDescent="0.35">
      <c r="A9" s="13"/>
      <c r="B9" s="13"/>
      <c r="C9" s="24">
        <v>6</v>
      </c>
      <c r="D9" s="337" t="s">
        <v>15</v>
      </c>
      <c r="E9" s="337"/>
      <c r="F9" s="102"/>
      <c r="G9" s="103" t="s">
        <v>9</v>
      </c>
      <c r="H9" s="103">
        <v>1</v>
      </c>
      <c r="I9" s="39">
        <v>2389200</v>
      </c>
      <c r="J9" s="31">
        <f t="shared" si="0"/>
        <v>453948</v>
      </c>
      <c r="K9" s="30">
        <f t="shared" si="1"/>
        <v>2843148</v>
      </c>
      <c r="L9" s="31">
        <f t="shared" si="5"/>
        <v>2843148</v>
      </c>
      <c r="M9" s="34"/>
      <c r="N9" s="53">
        <v>2562960</v>
      </c>
      <c r="O9" s="54">
        <f t="shared" si="2"/>
        <v>486962.4</v>
      </c>
      <c r="P9" s="54">
        <f t="shared" si="3"/>
        <v>3049922.4</v>
      </c>
      <c r="Q9" s="56">
        <f t="shared" si="6"/>
        <v>3049922.4</v>
      </c>
      <c r="R9" s="17"/>
      <c r="S9" s="77">
        <v>2861306</v>
      </c>
      <c r="T9" s="72">
        <f t="shared" si="16"/>
        <v>543648.14</v>
      </c>
      <c r="U9" s="72">
        <f t="shared" si="17"/>
        <v>3404954.14</v>
      </c>
      <c r="V9" s="72">
        <f t="shared" si="4"/>
        <v>3404954.14</v>
      </c>
      <c r="W9" s="17"/>
      <c r="X9" s="122">
        <f t="shared" si="7"/>
        <v>2843148</v>
      </c>
      <c r="Y9" s="121">
        <f t="shared" si="8"/>
        <v>3099341.5133333337</v>
      </c>
      <c r="Z9" s="121">
        <f t="shared" si="9"/>
        <v>3049922.4</v>
      </c>
      <c r="AA9" s="121">
        <f t="shared" si="10"/>
        <v>3090768.717679319</v>
      </c>
      <c r="AB9" s="120">
        <f t="shared" si="11"/>
        <v>3082329.9105092725</v>
      </c>
      <c r="AC9" s="120">
        <f t="shared" si="12"/>
        <v>284144.71895042248</v>
      </c>
      <c r="AD9" s="126">
        <f t="shared" si="13"/>
        <v>9.1679060770823412E-2</v>
      </c>
      <c r="AE9" s="17"/>
      <c r="AF9" s="135">
        <f>X9</f>
        <v>2843148</v>
      </c>
      <c r="AG9" s="131" t="s">
        <v>84</v>
      </c>
      <c r="AH9" s="56">
        <f t="shared" si="14"/>
        <v>2843148</v>
      </c>
      <c r="AI9" s="65">
        <f t="shared" si="15"/>
        <v>2843148</v>
      </c>
    </row>
    <row r="10" spans="1:35" ht="147" customHeight="1" x14ac:dyDescent="0.35">
      <c r="A10" s="13"/>
      <c r="B10" s="13"/>
      <c r="C10" s="24">
        <v>7</v>
      </c>
      <c r="D10" s="337" t="s">
        <v>16</v>
      </c>
      <c r="E10" s="337"/>
      <c r="F10" s="102"/>
      <c r="G10" s="103" t="s">
        <v>9</v>
      </c>
      <c r="H10" s="103">
        <v>3</v>
      </c>
      <c r="I10" s="39">
        <v>2302300</v>
      </c>
      <c r="J10" s="31">
        <f t="shared" si="0"/>
        <v>437437</v>
      </c>
      <c r="K10" s="30">
        <f t="shared" si="1"/>
        <v>2739737</v>
      </c>
      <c r="L10" s="31">
        <f t="shared" si="5"/>
        <v>8219211</v>
      </c>
      <c r="M10" s="34"/>
      <c r="N10" s="53">
        <v>2469740</v>
      </c>
      <c r="O10" s="55">
        <f t="shared" si="2"/>
        <v>469250.6</v>
      </c>
      <c r="P10" s="55">
        <f t="shared" si="3"/>
        <v>2938990.6</v>
      </c>
      <c r="Q10" s="56">
        <f t="shared" si="6"/>
        <v>8816971.8000000007</v>
      </c>
      <c r="R10" s="18"/>
      <c r="S10" s="78">
        <v>3721431</v>
      </c>
      <c r="T10" s="72">
        <f t="shared" si="16"/>
        <v>707071.89</v>
      </c>
      <c r="U10" s="72">
        <f t="shared" si="17"/>
        <v>4428502.8899999997</v>
      </c>
      <c r="V10" s="72">
        <f t="shared" si="4"/>
        <v>13285508.669999998</v>
      </c>
      <c r="W10" s="18"/>
      <c r="X10" s="122">
        <f t="shared" si="7"/>
        <v>2739737</v>
      </c>
      <c r="Y10" s="121">
        <f t="shared" si="8"/>
        <v>3369076.8299999996</v>
      </c>
      <c r="Z10" s="121">
        <f t="shared" si="9"/>
        <v>2938990.6</v>
      </c>
      <c r="AA10" s="121">
        <f t="shared" si="10"/>
        <v>3291455.6029429012</v>
      </c>
      <c r="AB10" s="120">
        <f t="shared" si="11"/>
        <v>3222129.2084133984</v>
      </c>
      <c r="AC10" s="120">
        <f t="shared" si="12"/>
        <v>922883.08129122399</v>
      </c>
      <c r="AD10" s="126">
        <f t="shared" si="13"/>
        <v>0.27392758546596402</v>
      </c>
      <c r="AE10" s="18"/>
      <c r="AF10" s="135">
        <f>X10</f>
        <v>2739737</v>
      </c>
      <c r="AG10" s="131" t="s">
        <v>84</v>
      </c>
      <c r="AH10" s="56">
        <f t="shared" si="14"/>
        <v>2739737</v>
      </c>
      <c r="AI10" s="65">
        <f t="shared" si="15"/>
        <v>8219211</v>
      </c>
    </row>
    <row r="11" spans="1:35" ht="122" customHeight="1" x14ac:dyDescent="0.35">
      <c r="A11" s="13"/>
      <c r="B11" s="13"/>
      <c r="C11" s="24">
        <v>8</v>
      </c>
      <c r="D11" s="337" t="s">
        <v>17</v>
      </c>
      <c r="E11" s="337"/>
      <c r="F11" s="102"/>
      <c r="G11" s="103" t="s">
        <v>9</v>
      </c>
      <c r="H11" s="103">
        <v>10</v>
      </c>
      <c r="I11" s="39">
        <v>1381600</v>
      </c>
      <c r="J11" s="31">
        <f t="shared" si="0"/>
        <v>262504</v>
      </c>
      <c r="K11" s="30">
        <f t="shared" si="1"/>
        <v>1644104</v>
      </c>
      <c r="L11" s="31">
        <f t="shared" si="5"/>
        <v>16441040</v>
      </c>
      <c r="M11" s="34"/>
      <c r="N11" s="53">
        <v>1482080</v>
      </c>
      <c r="O11" s="54">
        <f t="shared" si="2"/>
        <v>281595.2</v>
      </c>
      <c r="P11" s="54">
        <f t="shared" si="3"/>
        <v>1763675.2</v>
      </c>
      <c r="Q11" s="56">
        <f t="shared" si="6"/>
        <v>17636752</v>
      </c>
      <c r="R11" s="17"/>
      <c r="S11" s="77">
        <v>2264401</v>
      </c>
      <c r="T11" s="72">
        <f t="shared" si="16"/>
        <v>430236.19</v>
      </c>
      <c r="U11" s="72">
        <f t="shared" si="17"/>
        <v>2694637.19</v>
      </c>
      <c r="V11" s="72">
        <f t="shared" si="4"/>
        <v>26946371.899999999</v>
      </c>
      <c r="W11" s="17"/>
      <c r="X11" s="122">
        <f t="shared" si="7"/>
        <v>1644104</v>
      </c>
      <c r="Y11" s="121">
        <f t="shared" si="8"/>
        <v>2034138.7966666669</v>
      </c>
      <c r="Z11" s="121">
        <f t="shared" si="9"/>
        <v>1763675.2</v>
      </c>
      <c r="AA11" s="121">
        <f t="shared" si="10"/>
        <v>1984339.8975407872</v>
      </c>
      <c r="AB11" s="120">
        <f t="shared" si="11"/>
        <v>1940065.7727645321</v>
      </c>
      <c r="AC11" s="120">
        <f t="shared" si="12"/>
        <v>575124.25932514353</v>
      </c>
      <c r="AD11" s="61">
        <f t="shared" si="13"/>
        <v>0.28273599631824375</v>
      </c>
      <c r="AE11" s="17"/>
      <c r="AF11" s="135">
        <f>X11</f>
        <v>1644104</v>
      </c>
      <c r="AG11" s="131" t="s">
        <v>84</v>
      </c>
      <c r="AH11" s="56">
        <f t="shared" si="14"/>
        <v>1644104</v>
      </c>
      <c r="AI11" s="65">
        <f t="shared" si="15"/>
        <v>16441040</v>
      </c>
    </row>
    <row r="12" spans="1:35" s="7" customFormat="1" ht="203.5" customHeight="1" x14ac:dyDescent="0.35">
      <c r="A12" s="13"/>
      <c r="B12" s="13"/>
      <c r="C12" s="24">
        <v>9</v>
      </c>
      <c r="D12" s="310" t="s">
        <v>18</v>
      </c>
      <c r="E12" s="310"/>
      <c r="F12" s="27"/>
      <c r="G12" s="24" t="s">
        <v>9</v>
      </c>
      <c r="H12" s="24">
        <v>1</v>
      </c>
      <c r="I12" s="39">
        <v>8254400</v>
      </c>
      <c r="J12" s="31">
        <f t="shared" si="0"/>
        <v>1568336</v>
      </c>
      <c r="K12" s="30">
        <f t="shared" si="1"/>
        <v>9822736</v>
      </c>
      <c r="L12" s="31">
        <f t="shared" si="5"/>
        <v>9822736</v>
      </c>
      <c r="M12" s="35"/>
      <c r="N12" s="51">
        <v>8854720</v>
      </c>
      <c r="O12" s="52">
        <f t="shared" si="2"/>
        <v>1682396.8</v>
      </c>
      <c r="P12" s="52">
        <f t="shared" si="3"/>
        <v>10537116.800000001</v>
      </c>
      <c r="Q12" s="56">
        <f t="shared" si="6"/>
        <v>10537116.800000001</v>
      </c>
      <c r="S12" s="76">
        <v>15605500</v>
      </c>
      <c r="T12" s="72">
        <f t="shared" si="16"/>
        <v>2965045</v>
      </c>
      <c r="U12" s="72">
        <f t="shared" si="17"/>
        <v>18570545</v>
      </c>
      <c r="V12" s="72">
        <f t="shared" si="4"/>
        <v>18570545</v>
      </c>
      <c r="X12" s="121">
        <f t="shared" si="7"/>
        <v>9822736</v>
      </c>
      <c r="Y12" s="121">
        <f t="shared" si="8"/>
        <v>12976799.266666666</v>
      </c>
      <c r="Z12" s="117">
        <f t="shared" si="9"/>
        <v>10537116.800000001</v>
      </c>
      <c r="AA12" s="121">
        <f t="shared" si="10"/>
        <v>12433487.778411537</v>
      </c>
      <c r="AB12" s="120">
        <f t="shared" si="11"/>
        <v>11973372.838150982</v>
      </c>
      <c r="AC12" s="120">
        <f t="shared" si="12"/>
        <v>4857476.5546259591</v>
      </c>
      <c r="AD12" s="61">
        <f t="shared" si="13"/>
        <v>0.37432008115462612</v>
      </c>
      <c r="AF12" s="134">
        <f>Z12</f>
        <v>10537116.800000001</v>
      </c>
      <c r="AG12" s="128" t="s">
        <v>82</v>
      </c>
      <c r="AH12" s="56">
        <f>ROUND(AF12,0)</f>
        <v>10537117</v>
      </c>
      <c r="AI12" s="65">
        <f t="shared" si="15"/>
        <v>10537117</v>
      </c>
    </row>
    <row r="13" spans="1:35" ht="329" customHeight="1" x14ac:dyDescent="0.35">
      <c r="A13" s="13"/>
      <c r="B13" s="13"/>
      <c r="C13" s="24">
        <v>10</v>
      </c>
      <c r="D13" s="310" t="s">
        <v>19</v>
      </c>
      <c r="E13" s="310"/>
      <c r="F13" s="27"/>
      <c r="G13" s="24" t="s">
        <v>9</v>
      </c>
      <c r="H13" s="24">
        <v>40</v>
      </c>
      <c r="I13" s="39">
        <v>382800</v>
      </c>
      <c r="J13" s="31">
        <f t="shared" si="0"/>
        <v>72732</v>
      </c>
      <c r="K13" s="30">
        <f t="shared" si="1"/>
        <v>455532</v>
      </c>
      <c r="L13" s="31">
        <f t="shared" si="5"/>
        <v>18221280</v>
      </c>
      <c r="M13" s="34"/>
      <c r="N13" s="53">
        <v>410640</v>
      </c>
      <c r="O13" s="54">
        <f t="shared" si="2"/>
        <v>78021.600000000006</v>
      </c>
      <c r="P13" s="54">
        <f t="shared" si="3"/>
        <v>488661.6</v>
      </c>
      <c r="Q13" s="56">
        <f>H13*P13</f>
        <v>19546464</v>
      </c>
      <c r="R13" s="17"/>
      <c r="S13" s="77">
        <v>703900</v>
      </c>
      <c r="T13" s="72">
        <f t="shared" si="16"/>
        <v>133741</v>
      </c>
      <c r="U13" s="72">
        <f t="shared" si="17"/>
        <v>837641</v>
      </c>
      <c r="V13" s="72">
        <f t="shared" si="4"/>
        <v>33505640</v>
      </c>
      <c r="W13" s="17"/>
      <c r="X13" s="121">
        <f t="shared" si="7"/>
        <v>455532</v>
      </c>
      <c r="Y13" s="121">
        <f t="shared" si="8"/>
        <v>593944.8666666667</v>
      </c>
      <c r="Z13" s="117">
        <f t="shared" si="9"/>
        <v>488661.6</v>
      </c>
      <c r="AA13" s="121">
        <f t="shared" si="10"/>
        <v>571296.64888285822</v>
      </c>
      <c r="AB13" s="120">
        <f t="shared" si="11"/>
        <v>551930.16557068075</v>
      </c>
      <c r="AC13" s="120">
        <f t="shared" si="12"/>
        <v>211696.11864711493</v>
      </c>
      <c r="AD13" s="61">
        <f t="shared" si="13"/>
        <v>0.35642385434728047</v>
      </c>
      <c r="AE13" s="17"/>
      <c r="AF13" s="127">
        <f>Z13</f>
        <v>488661.6</v>
      </c>
      <c r="AG13" s="128" t="s">
        <v>82</v>
      </c>
      <c r="AH13" s="56">
        <f>ROUND(AF13,0)</f>
        <v>488662</v>
      </c>
      <c r="AI13" s="65">
        <f t="shared" si="15"/>
        <v>19546480</v>
      </c>
    </row>
    <row r="14" spans="1:35" ht="409.6" customHeight="1" x14ac:dyDescent="0.35">
      <c r="A14" s="13"/>
      <c r="B14" s="13"/>
      <c r="C14" s="318">
        <v>11</v>
      </c>
      <c r="D14" s="310" t="s">
        <v>26</v>
      </c>
      <c r="E14" s="310"/>
      <c r="F14" s="318"/>
      <c r="G14" s="318" t="s">
        <v>9</v>
      </c>
      <c r="H14" s="318">
        <v>3</v>
      </c>
      <c r="I14" s="319">
        <v>2321000</v>
      </c>
      <c r="J14" s="321">
        <f t="shared" si="0"/>
        <v>440990</v>
      </c>
      <c r="K14" s="323">
        <f t="shared" si="1"/>
        <v>2761990</v>
      </c>
      <c r="L14" s="323">
        <f>H14*K14</f>
        <v>8285970</v>
      </c>
      <c r="M14" s="34"/>
      <c r="N14" s="314">
        <v>2489800</v>
      </c>
      <c r="O14" s="314">
        <f t="shared" si="2"/>
        <v>473062</v>
      </c>
      <c r="P14" s="314">
        <f t="shared" si="3"/>
        <v>2962862</v>
      </c>
      <c r="Q14" s="316">
        <f>H14*P14</f>
        <v>8888586</v>
      </c>
      <c r="R14" s="17"/>
      <c r="S14" s="333">
        <v>5320530</v>
      </c>
      <c r="T14" s="333">
        <f>S14*19%</f>
        <v>1010900.7000000001</v>
      </c>
      <c r="U14" s="333">
        <f>S14+T14</f>
        <v>6331430.7000000002</v>
      </c>
      <c r="V14" s="335">
        <f>U14*H14</f>
        <v>18994292.100000001</v>
      </c>
      <c r="W14" s="17"/>
      <c r="X14" s="314">
        <f t="shared" si="7"/>
        <v>2761990</v>
      </c>
      <c r="Y14" s="314">
        <f t="shared" si="8"/>
        <v>4018760.9</v>
      </c>
      <c r="Z14" s="331">
        <f t="shared" si="9"/>
        <v>2962862</v>
      </c>
      <c r="AA14" s="326">
        <f t="shared" si="10"/>
        <v>3728021.9537716093</v>
      </c>
      <c r="AB14" s="326">
        <f t="shared" si="11"/>
        <v>3498495.4470991273</v>
      </c>
      <c r="AC14" s="314">
        <f t="shared" si="12"/>
        <v>2005347.4993053027</v>
      </c>
      <c r="AD14" s="329">
        <f t="shared" si="13"/>
        <v>0.49899646911198492</v>
      </c>
      <c r="AE14" s="17"/>
      <c r="AF14" s="311">
        <f>Z14</f>
        <v>2962862</v>
      </c>
      <c r="AG14" s="313" t="s">
        <v>82</v>
      </c>
      <c r="AH14" s="307">
        <f>ROUND(AF14,0)</f>
        <v>2962862</v>
      </c>
      <c r="AI14" s="309">
        <f t="shared" si="15"/>
        <v>8888586</v>
      </c>
    </row>
    <row r="15" spans="1:35" ht="334.5" customHeight="1" x14ac:dyDescent="0.35">
      <c r="A15" s="13"/>
      <c r="B15" s="13"/>
      <c r="C15" s="317"/>
      <c r="D15" s="310" t="s">
        <v>27</v>
      </c>
      <c r="E15" s="310"/>
      <c r="F15" s="317"/>
      <c r="G15" s="317"/>
      <c r="H15" s="317"/>
      <c r="I15" s="320"/>
      <c r="J15" s="322"/>
      <c r="K15" s="324"/>
      <c r="L15" s="324"/>
      <c r="M15" s="34"/>
      <c r="N15" s="315"/>
      <c r="O15" s="315"/>
      <c r="P15" s="315"/>
      <c r="Q15" s="317"/>
      <c r="R15" s="17"/>
      <c r="S15" s="334"/>
      <c r="T15" s="334"/>
      <c r="U15" s="334"/>
      <c r="V15" s="336"/>
      <c r="W15" s="17"/>
      <c r="X15" s="328">
        <f t="shared" si="7"/>
        <v>0</v>
      </c>
      <c r="Y15" s="328" t="e">
        <f t="shared" si="8"/>
        <v>#DIV/0!</v>
      </c>
      <c r="Z15" s="332" t="e">
        <f t="shared" si="9"/>
        <v>#NUM!</v>
      </c>
      <c r="AA15" s="327" t="e">
        <f t="shared" si="10"/>
        <v>#NUM!</v>
      </c>
      <c r="AB15" s="327" t="e">
        <f t="shared" si="11"/>
        <v>#N/A</v>
      </c>
      <c r="AC15" s="328" t="e">
        <f t="shared" si="12"/>
        <v>#DIV/0!</v>
      </c>
      <c r="AD15" s="330" t="e">
        <f t="shared" si="13"/>
        <v>#DIV/0!</v>
      </c>
      <c r="AE15" s="17"/>
      <c r="AF15" s="312"/>
      <c r="AG15" s="313"/>
      <c r="AH15" s="308"/>
      <c r="AI15" s="309"/>
    </row>
    <row r="16" spans="1:35" s="19" customFormat="1" ht="148" customHeight="1" x14ac:dyDescent="0.45">
      <c r="A16" s="13"/>
      <c r="B16" s="13"/>
      <c r="C16" s="24">
        <v>12</v>
      </c>
      <c r="D16" s="310" t="s">
        <v>20</v>
      </c>
      <c r="E16" s="310"/>
      <c r="F16" s="27"/>
      <c r="G16" s="24" t="s">
        <v>9</v>
      </c>
      <c r="H16" s="24">
        <v>3</v>
      </c>
      <c r="I16" s="39">
        <v>3604700</v>
      </c>
      <c r="J16" s="31">
        <f t="shared" ref="J16:J21" si="18">I16*19%</f>
        <v>684893</v>
      </c>
      <c r="K16" s="30">
        <f t="shared" ref="K16:K21" si="19">I16+J16</f>
        <v>4289593</v>
      </c>
      <c r="L16" s="30">
        <f t="shared" ref="L16:L21" si="20">H16*K16</f>
        <v>12868779</v>
      </c>
      <c r="M16" s="36"/>
      <c r="N16" s="44">
        <v>3866860</v>
      </c>
      <c r="O16" s="45">
        <f t="shared" ref="O16:O21" si="21">N16*19%</f>
        <v>734703.4</v>
      </c>
      <c r="P16" s="45">
        <f t="shared" ref="P16:P21" si="22">N16+O16</f>
        <v>4601563.4000000004</v>
      </c>
      <c r="Q16" s="46">
        <f>H16*P16</f>
        <v>13804690.200000001</v>
      </c>
      <c r="S16" s="79">
        <v>4990000</v>
      </c>
      <c r="T16" s="80">
        <f t="shared" ref="T16:T21" si="23">S16*19%</f>
        <v>948100</v>
      </c>
      <c r="U16" s="80">
        <f t="shared" ref="U16:U21" si="24">S16+T16</f>
        <v>5938100</v>
      </c>
      <c r="V16" s="81">
        <f t="shared" ref="V16:V21" si="25">U16*H16</f>
        <v>17814300</v>
      </c>
      <c r="X16" s="122">
        <f t="shared" si="7"/>
        <v>4289593</v>
      </c>
      <c r="Y16" s="121">
        <f t="shared" si="8"/>
        <v>4943085.4666666668</v>
      </c>
      <c r="Z16" s="121">
        <f t="shared" si="9"/>
        <v>4601563.4000000004</v>
      </c>
      <c r="AA16" s="121">
        <f t="shared" si="10"/>
        <v>4893914.0193540528</v>
      </c>
      <c r="AB16" s="120">
        <f t="shared" si="11"/>
        <v>4847749.717627041</v>
      </c>
      <c r="AC16" s="48">
        <f t="shared" si="12"/>
        <v>875712.18090046756</v>
      </c>
      <c r="AD16" s="61">
        <f t="shared" si="13"/>
        <v>0.17715902077877638</v>
      </c>
      <c r="AF16" s="130">
        <f>X16</f>
        <v>4289593</v>
      </c>
      <c r="AG16" s="131" t="s">
        <v>84</v>
      </c>
      <c r="AH16" s="46">
        <f>ROUND(AF16,0)</f>
        <v>4289593</v>
      </c>
      <c r="AI16" s="65">
        <f t="shared" si="15"/>
        <v>12868779</v>
      </c>
    </row>
    <row r="17" spans="1:35" s="19" customFormat="1" ht="409.6" customHeight="1" x14ac:dyDescent="0.45">
      <c r="A17" s="13"/>
      <c r="B17" s="13"/>
      <c r="C17" s="24">
        <v>13</v>
      </c>
      <c r="D17" s="310" t="s">
        <v>21</v>
      </c>
      <c r="E17" s="310"/>
      <c r="F17" s="27"/>
      <c r="G17" s="24" t="s">
        <v>9</v>
      </c>
      <c r="H17" s="24">
        <v>3</v>
      </c>
      <c r="I17" s="39">
        <v>1199000</v>
      </c>
      <c r="J17" s="31">
        <f t="shared" si="18"/>
        <v>227810</v>
      </c>
      <c r="K17" s="30">
        <f t="shared" si="19"/>
        <v>1426810</v>
      </c>
      <c r="L17" s="30">
        <f t="shared" si="20"/>
        <v>4280430</v>
      </c>
      <c r="M17" s="36"/>
      <c r="N17" s="44">
        <v>1286200</v>
      </c>
      <c r="O17" s="45">
        <f t="shared" si="21"/>
        <v>244378</v>
      </c>
      <c r="P17" s="45">
        <f t="shared" si="22"/>
        <v>1530578</v>
      </c>
      <c r="Q17" s="46">
        <f t="shared" ref="Q17:Q21" si="26">H17*P17</f>
        <v>4591734</v>
      </c>
      <c r="S17" s="79">
        <v>2618600</v>
      </c>
      <c r="T17" s="80">
        <f t="shared" si="23"/>
        <v>497534</v>
      </c>
      <c r="U17" s="80">
        <f t="shared" si="24"/>
        <v>3116134</v>
      </c>
      <c r="V17" s="81">
        <f t="shared" si="25"/>
        <v>9348402</v>
      </c>
      <c r="X17" s="121">
        <f t="shared" si="7"/>
        <v>1426810</v>
      </c>
      <c r="Y17" s="121">
        <f t="shared" si="8"/>
        <v>2024507.3333333333</v>
      </c>
      <c r="Z17" s="117">
        <f t="shared" si="9"/>
        <v>1530578</v>
      </c>
      <c r="AA17" s="121">
        <f t="shared" si="10"/>
        <v>1895014.6802066448</v>
      </c>
      <c r="AB17" s="120">
        <f t="shared" si="11"/>
        <v>1790913.7155467644</v>
      </c>
      <c r="AC17" s="120">
        <f t="shared" si="12"/>
        <v>946799.09906449157</v>
      </c>
      <c r="AD17" s="61">
        <f t="shared" si="13"/>
        <v>0.46766889083360114</v>
      </c>
      <c r="AF17" s="132">
        <f>Z17</f>
        <v>1530578</v>
      </c>
      <c r="AG17" s="128" t="s">
        <v>82</v>
      </c>
      <c r="AH17" s="46">
        <f t="shared" ref="AH17:AH21" si="27">ROUND(AF17,0)</f>
        <v>1530578</v>
      </c>
      <c r="AI17" s="65">
        <f t="shared" si="15"/>
        <v>4591734</v>
      </c>
    </row>
    <row r="18" spans="1:35" s="19" customFormat="1" ht="369" customHeight="1" x14ac:dyDescent="0.45">
      <c r="A18" s="13"/>
      <c r="B18" s="13"/>
      <c r="C18" s="24">
        <v>14</v>
      </c>
      <c r="D18" s="310" t="s">
        <v>22</v>
      </c>
      <c r="E18" s="310"/>
      <c r="F18" s="27"/>
      <c r="G18" s="24" t="s">
        <v>9</v>
      </c>
      <c r="H18" s="24">
        <v>1</v>
      </c>
      <c r="I18" s="39">
        <v>12381600</v>
      </c>
      <c r="J18" s="31">
        <f t="shared" si="18"/>
        <v>2352504</v>
      </c>
      <c r="K18" s="30">
        <f t="shared" si="19"/>
        <v>14734104</v>
      </c>
      <c r="L18" s="30">
        <f t="shared" si="20"/>
        <v>14734104</v>
      </c>
      <c r="M18" s="36"/>
      <c r="N18" s="44">
        <v>13282080</v>
      </c>
      <c r="O18" s="45">
        <f t="shared" si="21"/>
        <v>2523595.2000000002</v>
      </c>
      <c r="P18" s="45">
        <f t="shared" si="22"/>
        <v>15805675.199999999</v>
      </c>
      <c r="Q18" s="46">
        <f t="shared" si="26"/>
        <v>15805675.199999999</v>
      </c>
      <c r="S18" s="79">
        <v>22760782</v>
      </c>
      <c r="T18" s="80">
        <f t="shared" si="23"/>
        <v>4324548.58</v>
      </c>
      <c r="U18" s="80">
        <f t="shared" si="24"/>
        <v>27085330.579999998</v>
      </c>
      <c r="V18" s="81">
        <f t="shared" si="25"/>
        <v>27085330.579999998</v>
      </c>
      <c r="X18" s="60">
        <f t="shared" si="7"/>
        <v>14734104</v>
      </c>
      <c r="Y18" s="60">
        <f t="shared" si="8"/>
        <v>19208369.926666666</v>
      </c>
      <c r="Z18" s="117">
        <f t="shared" si="9"/>
        <v>15805675.199999999</v>
      </c>
      <c r="AA18" s="121">
        <f t="shared" si="10"/>
        <v>18476667.419142436</v>
      </c>
      <c r="AB18" s="120">
        <f t="shared" si="11"/>
        <v>17850924.660256211</v>
      </c>
      <c r="AC18" s="48">
        <f t="shared" si="12"/>
        <v>6842656.5060499944</v>
      </c>
      <c r="AD18" s="61">
        <f t="shared" si="13"/>
        <v>0.35623306569863827</v>
      </c>
      <c r="AF18" s="130">
        <f>Z18</f>
        <v>15805675.199999999</v>
      </c>
      <c r="AG18" s="128" t="s">
        <v>82</v>
      </c>
      <c r="AH18" s="46">
        <f t="shared" si="27"/>
        <v>15805675</v>
      </c>
      <c r="AI18" s="65">
        <f>H18*AH18</f>
        <v>15805675</v>
      </c>
    </row>
    <row r="19" spans="1:35" s="19" customFormat="1" ht="409.6" customHeight="1" x14ac:dyDescent="0.45">
      <c r="A19" s="13"/>
      <c r="B19" s="13"/>
      <c r="C19" s="24">
        <v>15</v>
      </c>
      <c r="D19" s="310" t="s">
        <v>23</v>
      </c>
      <c r="E19" s="310"/>
      <c r="F19" s="27"/>
      <c r="G19" s="24" t="s">
        <v>9</v>
      </c>
      <c r="H19" s="24">
        <v>1</v>
      </c>
      <c r="I19" s="39">
        <v>5676000</v>
      </c>
      <c r="J19" s="31">
        <f t="shared" si="18"/>
        <v>1078440</v>
      </c>
      <c r="K19" s="30">
        <f t="shared" si="19"/>
        <v>6754440</v>
      </c>
      <c r="L19" s="30">
        <f t="shared" si="20"/>
        <v>6754440</v>
      </c>
      <c r="M19" s="36"/>
      <c r="N19" s="44">
        <v>6088800</v>
      </c>
      <c r="O19" s="45">
        <f t="shared" si="21"/>
        <v>1156872</v>
      </c>
      <c r="P19" s="45">
        <f t="shared" si="22"/>
        <v>7245672</v>
      </c>
      <c r="Q19" s="46">
        <f t="shared" si="26"/>
        <v>7245672</v>
      </c>
      <c r="S19" s="79">
        <v>3400000</v>
      </c>
      <c r="T19" s="80">
        <f t="shared" si="23"/>
        <v>646000</v>
      </c>
      <c r="U19" s="80">
        <f t="shared" si="24"/>
        <v>4046000</v>
      </c>
      <c r="V19" s="81">
        <f t="shared" si="25"/>
        <v>4046000</v>
      </c>
      <c r="X19" s="122">
        <f t="shared" si="7"/>
        <v>4046000</v>
      </c>
      <c r="Y19" s="121">
        <f t="shared" si="8"/>
        <v>6015370.666666667</v>
      </c>
      <c r="Z19" s="121">
        <f t="shared" si="9"/>
        <v>6754440</v>
      </c>
      <c r="AA19" s="121">
        <f t="shared" si="10"/>
        <v>5828605.1045940472</v>
      </c>
      <c r="AB19" s="120">
        <f t="shared" si="11"/>
        <v>5626175.7935123835</v>
      </c>
      <c r="AC19" s="120">
        <f t="shared" si="12"/>
        <v>1723120.0876611404</v>
      </c>
      <c r="AD19" s="61">
        <f t="shared" si="13"/>
        <v>0.28645285272436638</v>
      </c>
      <c r="AF19" s="130">
        <f>X19</f>
        <v>4046000</v>
      </c>
      <c r="AG19" s="131" t="s">
        <v>84</v>
      </c>
      <c r="AH19" s="46">
        <f t="shared" si="27"/>
        <v>4046000</v>
      </c>
      <c r="AI19" s="65">
        <f>H19*AH19</f>
        <v>4046000</v>
      </c>
    </row>
    <row r="20" spans="1:35" s="20" customFormat="1" ht="143" customHeight="1" x14ac:dyDescent="0.35">
      <c r="A20" s="13"/>
      <c r="B20" s="13"/>
      <c r="C20" s="24">
        <v>16</v>
      </c>
      <c r="D20" s="310" t="s">
        <v>24</v>
      </c>
      <c r="E20" s="310"/>
      <c r="F20" s="27"/>
      <c r="G20" s="24" t="s">
        <v>9</v>
      </c>
      <c r="H20" s="24">
        <v>36</v>
      </c>
      <c r="I20" s="39">
        <v>288750</v>
      </c>
      <c r="J20" s="31">
        <f t="shared" si="18"/>
        <v>54862.5</v>
      </c>
      <c r="K20" s="30">
        <f t="shared" si="19"/>
        <v>343612.5</v>
      </c>
      <c r="L20" s="30">
        <f t="shared" si="20"/>
        <v>12370050</v>
      </c>
      <c r="M20" s="37"/>
      <c r="N20" s="40">
        <v>309750</v>
      </c>
      <c r="O20" s="41">
        <f t="shared" si="21"/>
        <v>58852.5</v>
      </c>
      <c r="P20" s="41">
        <f t="shared" si="22"/>
        <v>368602.5</v>
      </c>
      <c r="Q20" s="46">
        <f t="shared" si="26"/>
        <v>13269690</v>
      </c>
      <c r="S20" s="82">
        <v>132939</v>
      </c>
      <c r="T20" s="80">
        <f t="shared" si="23"/>
        <v>25258.41</v>
      </c>
      <c r="U20" s="80">
        <f t="shared" si="24"/>
        <v>158197.41</v>
      </c>
      <c r="V20" s="81">
        <f t="shared" si="25"/>
        <v>5695106.7599999998</v>
      </c>
      <c r="X20" s="121">
        <f t="shared" si="7"/>
        <v>158197.41</v>
      </c>
      <c r="Y20" s="121">
        <f t="shared" si="8"/>
        <v>290137.47000000003</v>
      </c>
      <c r="Z20" s="121">
        <f t="shared" si="9"/>
        <v>343612.5</v>
      </c>
      <c r="AA20" s="121">
        <f t="shared" si="10"/>
        <v>271607.77629604784</v>
      </c>
      <c r="AB20" s="141">
        <f t="shared" si="11"/>
        <v>251163.2920382423</v>
      </c>
      <c r="AC20" s="120">
        <f t="shared" si="12"/>
        <v>114944.5936075408</v>
      </c>
      <c r="AD20" s="61">
        <f t="shared" si="13"/>
        <v>0.3961728680116387</v>
      </c>
      <c r="AF20" s="129">
        <f>AB20</f>
        <v>251163.2920382423</v>
      </c>
      <c r="AG20" s="140" t="s">
        <v>85</v>
      </c>
      <c r="AH20" s="46">
        <f t="shared" si="27"/>
        <v>251163</v>
      </c>
      <c r="AI20" s="65">
        <f>H20*AH20</f>
        <v>9041868</v>
      </c>
    </row>
    <row r="21" spans="1:35" s="21" customFormat="1" ht="206" customHeight="1" x14ac:dyDescent="0.35">
      <c r="A21" s="13"/>
      <c r="B21" s="13"/>
      <c r="C21" s="24">
        <v>17</v>
      </c>
      <c r="D21" s="310" t="s">
        <v>25</v>
      </c>
      <c r="E21" s="310"/>
      <c r="F21" s="27"/>
      <c r="G21" s="24" t="s">
        <v>9</v>
      </c>
      <c r="H21" s="24">
        <v>80</v>
      </c>
      <c r="I21" s="39">
        <v>175890</v>
      </c>
      <c r="J21" s="31">
        <f t="shared" si="18"/>
        <v>33419.1</v>
      </c>
      <c r="K21" s="30">
        <f t="shared" si="19"/>
        <v>209309.1</v>
      </c>
      <c r="L21" s="30">
        <f t="shared" si="20"/>
        <v>16744728</v>
      </c>
      <c r="M21" s="38"/>
      <c r="N21" s="42">
        <v>188682</v>
      </c>
      <c r="O21" s="43">
        <f t="shared" si="21"/>
        <v>35849.58</v>
      </c>
      <c r="P21" s="43">
        <f t="shared" si="22"/>
        <v>224531.58000000002</v>
      </c>
      <c r="Q21" s="46">
        <f t="shared" si="26"/>
        <v>17962526.400000002</v>
      </c>
      <c r="S21" s="83">
        <v>291960</v>
      </c>
      <c r="T21" s="80">
        <f t="shared" si="23"/>
        <v>55472.4</v>
      </c>
      <c r="U21" s="80">
        <f t="shared" si="24"/>
        <v>347432.4</v>
      </c>
      <c r="V21" s="81">
        <f t="shared" si="25"/>
        <v>27794592</v>
      </c>
      <c r="X21" s="122">
        <f t="shared" si="7"/>
        <v>209309.1</v>
      </c>
      <c r="Y21" s="121">
        <f t="shared" si="8"/>
        <v>260424.36000000002</v>
      </c>
      <c r="Z21" s="121">
        <f t="shared" si="9"/>
        <v>224531.58000000002</v>
      </c>
      <c r="AA21" s="121">
        <f t="shared" si="10"/>
        <v>253695.02635325582</v>
      </c>
      <c r="AB21" s="120">
        <f t="shared" si="11"/>
        <v>247737.38583269491</v>
      </c>
      <c r="AC21" s="120">
        <f t="shared" si="12"/>
        <v>75734.603998560575</v>
      </c>
      <c r="AD21" s="61">
        <f t="shared" si="13"/>
        <v>0.29081228806153375</v>
      </c>
      <c r="AF21" s="133">
        <f>X21</f>
        <v>209309.1</v>
      </c>
      <c r="AG21" s="131" t="s">
        <v>84</v>
      </c>
      <c r="AH21" s="46">
        <f t="shared" si="27"/>
        <v>209309</v>
      </c>
      <c r="AI21" s="65">
        <f t="shared" ref="AI21" si="28">H21*AH21</f>
        <v>16744720</v>
      </c>
    </row>
    <row r="22" spans="1:35" s="22" customFormat="1" ht="30.5" customHeight="1" x14ac:dyDescent="0.35">
      <c r="A22" s="13"/>
      <c r="B22" s="13"/>
      <c r="C22" s="13"/>
      <c r="D22" s="325"/>
      <c r="E22" s="325"/>
      <c r="F22" s="13"/>
      <c r="G22" s="13"/>
      <c r="H22" s="13"/>
      <c r="I22" s="13"/>
      <c r="J22" s="28"/>
      <c r="K22" s="13"/>
      <c r="L22" s="115">
        <f>SUM(L4:L21)</f>
        <v>525844908.81999999</v>
      </c>
      <c r="Q22" s="114">
        <f>SUM(Q4:Q21)</f>
        <v>564090316.91600001</v>
      </c>
      <c r="S22" s="84"/>
      <c r="T22" s="84"/>
      <c r="U22" s="84"/>
      <c r="V22" s="113">
        <f>SUM(V4:V21)</f>
        <v>433408937.28999996</v>
      </c>
      <c r="Z22" s="118"/>
      <c r="AA22" s="118"/>
      <c r="AB22" s="118"/>
      <c r="AG22" s="125"/>
      <c r="AH22" s="91">
        <f>SUM(AH16:AH21)</f>
        <v>26132318</v>
      </c>
      <c r="AI22" s="91">
        <f>SUM(AI4:AI21)</f>
        <v>416450734</v>
      </c>
    </row>
    <row r="23" spans="1:35" s="1" customFormat="1" ht="75" customHeight="1" x14ac:dyDescent="0.35">
      <c r="A23" s="2"/>
      <c r="B23" s="2"/>
      <c r="C23" s="29"/>
      <c r="D23" s="29"/>
      <c r="E23" s="29"/>
      <c r="F23" s="2"/>
      <c r="G23" s="2"/>
      <c r="H23" s="2"/>
      <c r="I23" s="2"/>
      <c r="J23" s="2"/>
      <c r="K23" s="2"/>
      <c r="L23" s="2"/>
      <c r="N23" s="23"/>
      <c r="O23" s="2"/>
      <c r="P23" s="2"/>
      <c r="Q23" s="2"/>
      <c r="R23" s="2"/>
      <c r="S23" s="85"/>
      <c r="T23" s="85"/>
      <c r="U23" s="85"/>
      <c r="V23" s="85"/>
      <c r="W23" s="2"/>
      <c r="X23" s="2"/>
      <c r="Y23" s="2"/>
      <c r="Z23" s="119"/>
      <c r="AA23" s="119"/>
      <c r="AB23" s="119"/>
      <c r="AC23" s="2"/>
      <c r="AD23" s="2"/>
      <c r="AE23" s="2"/>
      <c r="AF23" s="116"/>
      <c r="AG23" s="123"/>
    </row>
  </sheetData>
  <mergeCells count="60">
    <mergeCell ref="D10:E10"/>
    <mergeCell ref="AD2:AD3"/>
    <mergeCell ref="AF2:AF3"/>
    <mergeCell ref="AG2:AG3"/>
    <mergeCell ref="AH2:AH3"/>
    <mergeCell ref="D3:E3"/>
    <mergeCell ref="D4:E4"/>
    <mergeCell ref="X2:X3"/>
    <mergeCell ref="Y2:Y3"/>
    <mergeCell ref="Z2:Z3"/>
    <mergeCell ref="AA2:AA3"/>
    <mergeCell ref="AB2:AB3"/>
    <mergeCell ref="AC2:AC3"/>
    <mergeCell ref="I2:L2"/>
    <mergeCell ref="N2:Q2"/>
    <mergeCell ref="S2:V2"/>
    <mergeCell ref="D5:E5"/>
    <mergeCell ref="D6:E6"/>
    <mergeCell ref="D7:E7"/>
    <mergeCell ref="D8:E8"/>
    <mergeCell ref="D9:E9"/>
    <mergeCell ref="L14:L15"/>
    <mergeCell ref="D11:E11"/>
    <mergeCell ref="D12:E12"/>
    <mergeCell ref="D13:E13"/>
    <mergeCell ref="C14:C15"/>
    <mergeCell ref="D14:E14"/>
    <mergeCell ref="F14:F15"/>
    <mergeCell ref="D21:E21"/>
    <mergeCell ref="D22:E22"/>
    <mergeCell ref="AB14:AB15"/>
    <mergeCell ref="AC14:AC15"/>
    <mergeCell ref="AD14:AD15"/>
    <mergeCell ref="D15:E15"/>
    <mergeCell ref="D16:E16"/>
    <mergeCell ref="D17:E17"/>
    <mergeCell ref="X14:X15"/>
    <mergeCell ref="Y14:Y15"/>
    <mergeCell ref="Z14:Z15"/>
    <mergeCell ref="AA14:AA15"/>
    <mergeCell ref="S14:S15"/>
    <mergeCell ref="T14:T15"/>
    <mergeCell ref="U14:U15"/>
    <mergeCell ref="V14:V15"/>
    <mergeCell ref="AH14:AH15"/>
    <mergeCell ref="AI14:AI15"/>
    <mergeCell ref="D18:E18"/>
    <mergeCell ref="D19:E19"/>
    <mergeCell ref="D20:E20"/>
    <mergeCell ref="AF14:AF15"/>
    <mergeCell ref="AG14:AG15"/>
    <mergeCell ref="N14:N15"/>
    <mergeCell ref="O14:O15"/>
    <mergeCell ref="P14:P15"/>
    <mergeCell ref="Q14:Q15"/>
    <mergeCell ref="G14:G15"/>
    <mergeCell ref="H14:H15"/>
    <mergeCell ref="I14:I15"/>
    <mergeCell ref="J14:J15"/>
    <mergeCell ref="K14:K15"/>
  </mergeCells>
  <pageMargins left="0.6692913385826772" right="0.36" top="0.97" bottom="0.71" header="0.61" footer="0.35433070866141736"/>
  <pageSetup scale="10" fitToHeight="0" orientation="portrait" r:id="rId1"/>
  <headerFooter differentFirst="1">
    <oddHeader>&amp;L&amp;12PLAN DE NECESIDADES No._______________________________________________/ QUE EMITE LA ESCUELA DE INGENIEROS MILITARES PARA LA ADQUISICIÓN DE LOS SERVICIOS DE PAUTAS PUBLICITARIAS. PÁGINA &amp;P</oddHeader>
    <oddFooter>&amp;C&amp;P</oddFooter>
  </headerFooter>
  <rowBreaks count="1" manualBreakCount="1">
    <brk id="17" max="52" man="1"/>
  </rowBreaks>
  <colBreaks count="1" manualBreakCount="1">
    <brk id="35" min="1" max="22"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F50D2-3D6E-4F77-B7A7-0EB592959386}">
  <sheetPr>
    <tabColor rgb="FFCCFFCC"/>
  </sheetPr>
  <dimension ref="A2:AY23"/>
  <sheetViews>
    <sheetView view="pageBreakPreview" zoomScale="40" zoomScaleNormal="65" zoomScaleSheetLayoutView="40" zoomScalePageLayoutView="80" workbookViewId="0">
      <selection activeCell="G3" sqref="G3:H3"/>
    </sheetView>
  </sheetViews>
  <sheetFormatPr baseColWidth="10" defaultColWidth="14.453125" defaultRowHeight="15" customHeight="1" x14ac:dyDescent="0.35"/>
  <cols>
    <col min="1" max="1" width="1.453125" style="2" customWidth="1"/>
    <col min="2" max="2" width="2.26953125" style="2" customWidth="1"/>
    <col min="3" max="3" width="8.08984375" style="2" customWidth="1"/>
    <col min="4" max="4" width="20.81640625" style="2" customWidth="1"/>
    <col min="5" max="5" width="88" style="2" customWidth="1"/>
    <col min="6" max="6" width="42.7265625" style="2" customWidth="1"/>
    <col min="7" max="7" width="12.6328125" style="2" customWidth="1"/>
    <col min="8" max="8" width="16.26953125" style="2" customWidth="1"/>
    <col min="9" max="11" width="24.7265625" style="2" customWidth="1"/>
    <col min="12" max="12" width="24.54296875" style="2" customWidth="1"/>
    <col min="13" max="13" width="1.453125" style="1" customWidth="1"/>
    <col min="14" max="14" width="23.26953125" style="23" customWidth="1"/>
    <col min="15" max="16" width="23.26953125" style="2" customWidth="1"/>
    <col min="17" max="17" width="25.08984375" style="2" customWidth="1"/>
    <col min="18" max="18" width="1.6328125" style="2" customWidth="1"/>
    <col min="19" max="21" width="22" style="2" customWidth="1"/>
    <col min="22" max="22" width="23.1796875" style="2" customWidth="1"/>
    <col min="23" max="23" width="1.6328125" style="2" customWidth="1"/>
    <col min="24" max="26" width="18.54296875" style="2" customWidth="1"/>
    <col min="27" max="27" width="22.453125" style="2" customWidth="1"/>
    <col min="28" max="28" width="1.6328125" style="2" customWidth="1"/>
    <col min="29" max="31" width="20.6328125" style="85" customWidth="1"/>
    <col min="32" max="32" width="23.90625" style="85" customWidth="1"/>
    <col min="33" max="33" width="1.6328125" style="2" customWidth="1"/>
    <col min="34" max="36" width="21.90625" style="2" customWidth="1"/>
    <col min="37" max="37" width="27.6328125" style="2" customWidth="1"/>
    <col min="38" max="40" width="1.6328125" style="2" customWidth="1"/>
    <col min="41" max="45" width="26.90625" style="2" customWidth="1"/>
    <col min="46" max="46" width="27" style="2" customWidth="1"/>
    <col min="47" max="47" width="25.08984375" style="2" customWidth="1"/>
    <col min="48" max="48" width="1.453125" style="2" customWidth="1"/>
    <col min="49" max="51" width="17.6328125" style="2" customWidth="1"/>
    <col min="52" max="16384" width="14.453125" style="2"/>
  </cols>
  <sheetData>
    <row r="2" spans="1:51" s="10" customFormat="1" ht="33.5" customHeight="1" x14ac:dyDescent="0.45">
      <c r="A2" s="8"/>
      <c r="B2" s="9"/>
      <c r="C2" s="12"/>
      <c r="D2" s="12"/>
      <c r="E2" s="12"/>
      <c r="F2" s="12"/>
      <c r="G2" s="12"/>
      <c r="H2" s="12"/>
      <c r="I2" s="349" t="s">
        <v>28</v>
      </c>
      <c r="J2" s="349"/>
      <c r="K2" s="349"/>
      <c r="L2" s="350"/>
      <c r="M2" s="6"/>
      <c r="N2" s="351" t="s">
        <v>29</v>
      </c>
      <c r="O2" s="351"/>
      <c r="P2" s="351"/>
      <c r="Q2" s="352"/>
      <c r="R2" s="11"/>
      <c r="S2" s="367" t="s">
        <v>37</v>
      </c>
      <c r="T2" s="367"/>
      <c r="U2" s="367"/>
      <c r="V2" s="368"/>
      <c r="W2" s="11"/>
      <c r="X2" s="365" t="s">
        <v>38</v>
      </c>
      <c r="Y2" s="365"/>
      <c r="Z2" s="365"/>
      <c r="AA2" s="366"/>
      <c r="AB2" s="11"/>
      <c r="AC2" s="353" t="s">
        <v>39</v>
      </c>
      <c r="AD2" s="353"/>
      <c r="AE2" s="353"/>
      <c r="AF2" s="354"/>
      <c r="AG2" s="11"/>
      <c r="AH2" s="359" t="s">
        <v>40</v>
      </c>
      <c r="AI2" s="359"/>
      <c r="AJ2" s="359"/>
      <c r="AK2" s="360"/>
      <c r="AL2" s="11"/>
      <c r="AM2" s="11"/>
      <c r="AN2" s="11"/>
      <c r="AO2" s="338" t="s">
        <v>30</v>
      </c>
      <c r="AP2" s="338" t="s">
        <v>31</v>
      </c>
      <c r="AQ2" s="338" t="s">
        <v>32</v>
      </c>
      <c r="AR2" s="338" t="s">
        <v>33</v>
      </c>
      <c r="AS2" s="338" t="s">
        <v>34</v>
      </c>
      <c r="AT2" s="338" t="s">
        <v>35</v>
      </c>
      <c r="AU2" s="338" t="s">
        <v>36</v>
      </c>
      <c r="AV2" s="11"/>
      <c r="AW2" s="355" t="s">
        <v>78</v>
      </c>
      <c r="AX2" s="357" t="s">
        <v>79</v>
      </c>
      <c r="AY2" s="344" t="s">
        <v>80</v>
      </c>
    </row>
    <row r="3" spans="1:51" s="7" customFormat="1" ht="60.5" customHeight="1" x14ac:dyDescent="0.35">
      <c r="A3" s="4"/>
      <c r="B3" s="5"/>
      <c r="C3" s="25" t="s">
        <v>3</v>
      </c>
      <c r="D3" s="346" t="s">
        <v>4</v>
      </c>
      <c r="E3" s="346"/>
      <c r="F3" s="26" t="s">
        <v>11</v>
      </c>
      <c r="G3" s="25" t="s">
        <v>0</v>
      </c>
      <c r="H3" s="25" t="s">
        <v>5</v>
      </c>
      <c r="I3" s="59" t="s">
        <v>1</v>
      </c>
      <c r="J3" s="59" t="s">
        <v>2</v>
      </c>
      <c r="K3" s="59" t="s">
        <v>6</v>
      </c>
      <c r="L3" s="59" t="s">
        <v>7</v>
      </c>
      <c r="N3" s="62" t="s">
        <v>1</v>
      </c>
      <c r="O3" s="62" t="s">
        <v>2</v>
      </c>
      <c r="P3" s="62" t="s">
        <v>6</v>
      </c>
      <c r="Q3" s="62" t="s">
        <v>7</v>
      </c>
      <c r="S3" s="63" t="s">
        <v>1</v>
      </c>
      <c r="T3" s="63" t="s">
        <v>2</v>
      </c>
      <c r="U3" s="63" t="s">
        <v>6</v>
      </c>
      <c r="V3" s="63" t="s">
        <v>7</v>
      </c>
      <c r="X3" s="64" t="s">
        <v>1</v>
      </c>
      <c r="Y3" s="64" t="s">
        <v>2</v>
      </c>
      <c r="Z3" s="64" t="s">
        <v>6</v>
      </c>
      <c r="AA3" s="64" t="s">
        <v>7</v>
      </c>
      <c r="AC3" s="71" t="s">
        <v>1</v>
      </c>
      <c r="AD3" s="71" t="s">
        <v>2</v>
      </c>
      <c r="AE3" s="71" t="s">
        <v>6</v>
      </c>
      <c r="AF3" s="71" t="s">
        <v>7</v>
      </c>
      <c r="AH3" s="86" t="s">
        <v>1</v>
      </c>
      <c r="AI3" s="86" t="s">
        <v>2</v>
      </c>
      <c r="AJ3" s="86" t="s">
        <v>6</v>
      </c>
      <c r="AK3" s="86" t="s">
        <v>7</v>
      </c>
      <c r="AO3" s="339"/>
      <c r="AP3" s="339"/>
      <c r="AQ3" s="339"/>
      <c r="AR3" s="339"/>
      <c r="AS3" s="339"/>
      <c r="AT3" s="339"/>
      <c r="AU3" s="339"/>
      <c r="AW3" s="356"/>
      <c r="AX3" s="358"/>
      <c r="AY3" s="345" t="s">
        <v>81</v>
      </c>
    </row>
    <row r="4" spans="1:51" s="15" customFormat="1" ht="345.5" customHeight="1" x14ac:dyDescent="0.35">
      <c r="B4" s="16"/>
      <c r="C4" s="24">
        <v>1</v>
      </c>
      <c r="D4" s="310" t="s">
        <v>8</v>
      </c>
      <c r="E4" s="310"/>
      <c r="F4" s="27"/>
      <c r="G4" s="24" t="s">
        <v>9</v>
      </c>
      <c r="H4" s="24">
        <v>27</v>
      </c>
      <c r="I4" s="39">
        <v>2033614</v>
      </c>
      <c r="J4" s="39">
        <f t="shared" ref="J4:J14" si="0">I4*19%</f>
        <v>386386.66000000003</v>
      </c>
      <c r="K4" s="30">
        <f t="shared" ref="K4:K14" si="1">I4+J4</f>
        <v>2420000.66</v>
      </c>
      <c r="L4" s="31">
        <f>H4*K4</f>
        <v>65340017.820000008</v>
      </c>
      <c r="M4" s="32"/>
      <c r="N4" s="47">
        <v>2181513.2000000002</v>
      </c>
      <c r="O4" s="48">
        <f t="shared" ref="O4:O14" si="2">N4*19%</f>
        <v>414487.50800000003</v>
      </c>
      <c r="P4" s="48">
        <f t="shared" ref="P4:P14" si="3">N4+O4</f>
        <v>2596000.7080000001</v>
      </c>
      <c r="Q4" s="56">
        <f>H4*P4</f>
        <v>70092019.115999997</v>
      </c>
      <c r="S4" s="48">
        <v>1765000</v>
      </c>
      <c r="T4" s="48">
        <f>S4*19%</f>
        <v>335350</v>
      </c>
      <c r="U4" s="48">
        <f>S4+T4</f>
        <v>2100350</v>
      </c>
      <c r="V4" s="56">
        <f>H4*U4</f>
        <v>56709450</v>
      </c>
      <c r="X4" s="48">
        <v>2120800</v>
      </c>
      <c r="Y4" s="48">
        <f>X4*19%</f>
        <v>402952</v>
      </c>
      <c r="Z4" s="48">
        <f>X4+Y4</f>
        <v>2523752</v>
      </c>
      <c r="AA4" s="48">
        <f>Z4*H4</f>
        <v>68141304</v>
      </c>
      <c r="AC4" s="72">
        <v>240900</v>
      </c>
      <c r="AD4" s="72">
        <f>AC4*19%</f>
        <v>45771</v>
      </c>
      <c r="AE4" s="72">
        <f>AC4+AD4</f>
        <v>286671</v>
      </c>
      <c r="AF4" s="72">
        <f>H4*AE4</f>
        <v>7740117</v>
      </c>
      <c r="AH4" s="89">
        <v>5614973</v>
      </c>
      <c r="AI4" s="89">
        <f>+AH4*19%</f>
        <v>1066844.8700000001</v>
      </c>
      <c r="AJ4" s="39">
        <f>+AH4+AI4</f>
        <v>6681817.8700000001</v>
      </c>
      <c r="AK4" s="88">
        <f>AJ4*H4</f>
        <v>180409082.49000001</v>
      </c>
      <c r="AO4" s="60">
        <f>MIN(K4,P4,U4,Z4,AE4,AJ4)</f>
        <v>286671</v>
      </c>
      <c r="AP4" s="60">
        <f>AVERAGE(K4,P4,U4,Z4,AE4,AJ4)</f>
        <v>2768098.7063333336</v>
      </c>
      <c r="AQ4" s="60">
        <f>MEDIAN(K4,P4,U4,Z4,AE4,AJ4)</f>
        <v>2471876.33</v>
      </c>
      <c r="AR4" s="60">
        <f>GEOMEAN(K4,P4,U4,Z4,AE4,AJ4)</f>
        <v>1998892.8086632947</v>
      </c>
      <c r="AS4" s="48">
        <f>HARMEAN(K4,P4,U4,Z4,AE4,AJ4)</f>
        <v>1130208.1249404384</v>
      </c>
      <c r="AT4" s="48">
        <f>STDEV(K4,P4,U4,Z4,AE4,AJ4)</f>
        <v>2103856.6858228547</v>
      </c>
      <c r="AU4" s="61">
        <f>AT4/AP4</f>
        <v>0.76003672882375495</v>
      </c>
      <c r="AW4" s="65"/>
    </row>
    <row r="5" spans="1:51" s="3" customFormat="1" ht="123.5" customHeight="1" x14ac:dyDescent="0.35">
      <c r="A5" s="13"/>
      <c r="B5" s="13"/>
      <c r="C5" s="24">
        <v>2</v>
      </c>
      <c r="D5" s="337" t="s">
        <v>10</v>
      </c>
      <c r="E5" s="337"/>
      <c r="F5" s="102"/>
      <c r="G5" s="24" t="s">
        <v>9</v>
      </c>
      <c r="H5" s="24">
        <v>1</v>
      </c>
      <c r="I5" s="39">
        <v>5362500</v>
      </c>
      <c r="J5" s="31">
        <f t="shared" si="0"/>
        <v>1018875</v>
      </c>
      <c r="K5" s="30">
        <f t="shared" si="1"/>
        <v>6381375</v>
      </c>
      <c r="L5" s="31">
        <f t="shared" ref="L5:L13" si="4">H5*K5</f>
        <v>6381375</v>
      </c>
      <c r="M5" s="33"/>
      <c r="N5" s="49">
        <v>5752500</v>
      </c>
      <c r="O5" s="50">
        <f t="shared" si="2"/>
        <v>1092975</v>
      </c>
      <c r="P5" s="50">
        <f t="shared" si="3"/>
        <v>6845475</v>
      </c>
      <c r="Q5" s="56">
        <f t="shared" ref="Q5:Q12" si="5">H5*P5</f>
        <v>6845475</v>
      </c>
      <c r="S5" s="50">
        <v>3500000</v>
      </c>
      <c r="T5" s="48">
        <f t="shared" ref="T5:T12" si="6">S5*19%</f>
        <v>665000</v>
      </c>
      <c r="U5" s="48">
        <f t="shared" ref="U5:U12" si="7">S5+T5</f>
        <v>4165000</v>
      </c>
      <c r="V5" s="56">
        <f t="shared" ref="V5:V12" si="8">H5*U5</f>
        <v>4165000</v>
      </c>
      <c r="X5" s="50">
        <v>4900000</v>
      </c>
      <c r="Y5" s="48">
        <f t="shared" ref="Y5:Y13" si="9">X5*19%</f>
        <v>931000</v>
      </c>
      <c r="Z5" s="48">
        <f t="shared" ref="Z5:Z13" si="10">X5+Y5</f>
        <v>5831000</v>
      </c>
      <c r="AA5" s="48">
        <f t="shared" ref="AA5:AA13" si="11">Z5*H5</f>
        <v>5831000</v>
      </c>
      <c r="AC5" s="73">
        <v>9750000</v>
      </c>
      <c r="AD5" s="72">
        <f>AC5*19%</f>
        <v>1852500</v>
      </c>
      <c r="AE5" s="72">
        <f>AC5+AD5</f>
        <v>11602500</v>
      </c>
      <c r="AF5" s="72">
        <f>H5*AE5</f>
        <v>11602500</v>
      </c>
      <c r="AH5" s="89">
        <v>6049961</v>
      </c>
      <c r="AI5" s="89">
        <f t="shared" ref="AI5:AI13" si="12">+AH5*19%</f>
        <v>1149492.5900000001</v>
      </c>
      <c r="AJ5" s="39">
        <f t="shared" ref="AJ5:AJ13" si="13">+AH5+AI5</f>
        <v>7199453.5899999999</v>
      </c>
      <c r="AK5" s="88">
        <f t="shared" ref="AK5:AK13" si="14">AJ5*H5</f>
        <v>7199453.5899999999</v>
      </c>
      <c r="AO5" s="60">
        <f t="shared" ref="AO5:AO9" si="15">MIN(K5,P5,U5,Z5,AE5,AJ5)</f>
        <v>4165000</v>
      </c>
      <c r="AP5" s="60">
        <f t="shared" ref="AP5:AP12" si="16">AVERAGE(K5,P5,U5,Z5,AE5,AJ5)</f>
        <v>7004133.9316666676</v>
      </c>
      <c r="AQ5" s="60">
        <f t="shared" ref="AQ5:AQ12" si="17">MEDIAN(K5,P5,U5,Z5,AE5,AJ5)</f>
        <v>6613425</v>
      </c>
      <c r="AR5" s="60">
        <f t="shared" ref="AR5:AR12" si="18">GEOMEAN(K5,P5,U5,Z5,AE5,AJ5)</f>
        <v>6677099.3155833269</v>
      </c>
      <c r="AS5" s="48">
        <f t="shared" ref="AS5:AS12" si="19">HARMEAN(K5,P5,U5,Z5,AE5,AJ5)</f>
        <v>6386587.1446219934</v>
      </c>
      <c r="AT5" s="48">
        <f t="shared" ref="AT5:AT12" si="20">STDEV(K5,P5,U5,Z5,AE5,AJ5)</f>
        <v>2491306.7380179297</v>
      </c>
      <c r="AU5" s="61">
        <f t="shared" ref="AU5:AU11" si="21">AT5/AP5</f>
        <v>0.35569090516022034</v>
      </c>
      <c r="AW5" s="66"/>
    </row>
    <row r="6" spans="1:51" s="1" customFormat="1" ht="343.5" customHeight="1" x14ac:dyDescent="0.35">
      <c r="A6" s="13"/>
      <c r="B6" s="13"/>
      <c r="C6" s="24">
        <v>3</v>
      </c>
      <c r="D6" s="310" t="s">
        <v>12</v>
      </c>
      <c r="E6" s="310"/>
      <c r="F6" s="27"/>
      <c r="G6" s="24" t="s">
        <v>9</v>
      </c>
      <c r="H6" s="24">
        <v>370</v>
      </c>
      <c r="I6" s="39">
        <v>508200</v>
      </c>
      <c r="J6" s="31">
        <f t="shared" si="0"/>
        <v>96558</v>
      </c>
      <c r="K6" s="30">
        <f t="shared" si="1"/>
        <v>604758</v>
      </c>
      <c r="L6" s="31">
        <f t="shared" si="4"/>
        <v>223760460</v>
      </c>
      <c r="M6" s="34"/>
      <c r="N6" s="57">
        <v>545160</v>
      </c>
      <c r="O6" s="58">
        <f t="shared" si="2"/>
        <v>103580.4</v>
      </c>
      <c r="P6" s="58">
        <f t="shared" si="3"/>
        <v>648740.4</v>
      </c>
      <c r="Q6" s="56">
        <f>H6*P6</f>
        <v>240033948</v>
      </c>
      <c r="S6" s="58">
        <v>192000</v>
      </c>
      <c r="T6" s="48">
        <f t="shared" si="6"/>
        <v>36480</v>
      </c>
      <c r="U6" s="48">
        <f t="shared" si="7"/>
        <v>228480</v>
      </c>
      <c r="V6" s="56">
        <f t="shared" si="8"/>
        <v>84537600</v>
      </c>
      <c r="X6" s="58">
        <v>179900</v>
      </c>
      <c r="Y6" s="48">
        <f t="shared" si="9"/>
        <v>34181</v>
      </c>
      <c r="Z6" s="48">
        <f t="shared" si="10"/>
        <v>214081</v>
      </c>
      <c r="AA6" s="48">
        <f t="shared" si="11"/>
        <v>79209970</v>
      </c>
      <c r="AC6" s="74">
        <v>210000</v>
      </c>
      <c r="AD6" s="72">
        <f t="shared" ref="AD6:AD13" si="22">AC6*19%</f>
        <v>39900</v>
      </c>
      <c r="AE6" s="72">
        <f t="shared" ref="AE6:AE13" si="23">AC6+AD6</f>
        <v>249900</v>
      </c>
      <c r="AF6" s="72">
        <f t="shared" ref="AF6:AF13" si="24">H6*AE6</f>
        <v>92463000</v>
      </c>
      <c r="AH6" s="89">
        <v>397249</v>
      </c>
      <c r="AI6" s="89">
        <f t="shared" si="12"/>
        <v>75477.31</v>
      </c>
      <c r="AJ6" s="39">
        <f t="shared" si="13"/>
        <v>472726.31</v>
      </c>
      <c r="AK6" s="88">
        <f t="shared" si="14"/>
        <v>174908734.69999999</v>
      </c>
      <c r="AO6" s="60">
        <f t="shared" si="15"/>
        <v>214081</v>
      </c>
      <c r="AP6" s="60">
        <f t="shared" si="16"/>
        <v>403114.28499999997</v>
      </c>
      <c r="AQ6" s="60">
        <f t="shared" si="17"/>
        <v>361313.15500000003</v>
      </c>
      <c r="AR6" s="60">
        <f t="shared" si="18"/>
        <v>362445.3106832605</v>
      </c>
      <c r="AS6" s="48">
        <f t="shared" si="19"/>
        <v>326799.66345770314</v>
      </c>
      <c r="AT6" s="48">
        <f t="shared" si="20"/>
        <v>197759.21908068351</v>
      </c>
      <c r="AU6" s="61">
        <f t="shared" si="21"/>
        <v>0.4905785441979153</v>
      </c>
      <c r="AW6" s="67"/>
    </row>
    <row r="7" spans="1:51" ht="268" customHeight="1" x14ac:dyDescent="0.35">
      <c r="A7" s="13"/>
      <c r="B7" s="13"/>
      <c r="C7" s="24">
        <v>4</v>
      </c>
      <c r="D7" s="310" t="s">
        <v>13</v>
      </c>
      <c r="E7" s="310"/>
      <c r="F7" s="27"/>
      <c r="G7" s="24" t="s">
        <v>9</v>
      </c>
      <c r="H7" s="24">
        <v>83</v>
      </c>
      <c r="I7" s="39">
        <v>616000</v>
      </c>
      <c r="J7" s="31">
        <f t="shared" si="0"/>
        <v>117040</v>
      </c>
      <c r="K7" s="30">
        <f t="shared" si="1"/>
        <v>733040</v>
      </c>
      <c r="L7" s="31">
        <f t="shared" si="4"/>
        <v>60842320</v>
      </c>
      <c r="M7" s="34"/>
      <c r="N7" s="51">
        <v>660800</v>
      </c>
      <c r="O7" s="52">
        <f t="shared" si="2"/>
        <v>125552</v>
      </c>
      <c r="P7" s="52">
        <f t="shared" si="3"/>
        <v>786352</v>
      </c>
      <c r="Q7" s="56">
        <f t="shared" si="5"/>
        <v>65267216</v>
      </c>
      <c r="R7" s="14"/>
      <c r="S7" s="52">
        <v>345000</v>
      </c>
      <c r="T7" s="48">
        <f t="shared" si="6"/>
        <v>65550</v>
      </c>
      <c r="U7" s="48">
        <f t="shared" si="7"/>
        <v>410550</v>
      </c>
      <c r="V7" s="56">
        <f t="shared" si="8"/>
        <v>34075650</v>
      </c>
      <c r="W7" s="14"/>
      <c r="X7" s="69"/>
      <c r="Y7" s="48">
        <f t="shared" si="9"/>
        <v>0</v>
      </c>
      <c r="Z7" s="48">
        <f t="shared" si="10"/>
        <v>0</v>
      </c>
      <c r="AA7" s="48">
        <f t="shared" si="11"/>
        <v>0</v>
      </c>
      <c r="AB7" s="14"/>
      <c r="AC7" s="75">
        <v>478484</v>
      </c>
      <c r="AD7" s="72">
        <f t="shared" si="22"/>
        <v>90911.96</v>
      </c>
      <c r="AE7" s="72">
        <f t="shared" si="23"/>
        <v>569395.96</v>
      </c>
      <c r="AF7" s="72">
        <f t="shared" si="24"/>
        <v>47259864.68</v>
      </c>
      <c r="AG7" s="14"/>
      <c r="AH7" s="89">
        <v>1378151</v>
      </c>
      <c r="AI7" s="89">
        <f t="shared" si="12"/>
        <v>261848.69</v>
      </c>
      <c r="AJ7" s="39">
        <f t="shared" si="13"/>
        <v>1639999.69</v>
      </c>
      <c r="AK7" s="88">
        <f t="shared" si="14"/>
        <v>136119974.26999998</v>
      </c>
      <c r="AL7" s="14"/>
      <c r="AM7" s="14"/>
      <c r="AN7" s="14"/>
      <c r="AO7" s="60">
        <f>MIN(K7,P7,U7,AE7,AJ7)</f>
        <v>410550</v>
      </c>
      <c r="AP7" s="60">
        <f>AVERAGE(K7,P7,U7,AE7,AJ7)</f>
        <v>827867.53</v>
      </c>
      <c r="AQ7" s="60">
        <f>MEDIAN(K7,P7,U7,AE7,AJ7)</f>
        <v>733040</v>
      </c>
      <c r="AR7" s="60">
        <f>GEOMEAN(K7,P7,U7,AE7,AJ7)</f>
        <v>739390.34395067522</v>
      </c>
      <c r="AS7" s="48">
        <f>HARMEAN(K7,P7,U7,AE7,AJ7)</f>
        <v>672256.49074326467</v>
      </c>
      <c r="AT7" s="48">
        <f>STDEV(K7,P7,U7,AE7,AJ7)</f>
        <v>477293.38941758679</v>
      </c>
      <c r="AU7" s="61">
        <f t="shared" si="21"/>
        <v>0.57653352996896345</v>
      </c>
      <c r="AV7" s="14"/>
      <c r="AW7" s="68"/>
    </row>
    <row r="8" spans="1:51" s="7" customFormat="1" ht="146" customHeight="1" x14ac:dyDescent="0.35">
      <c r="A8" s="13"/>
      <c r="B8" s="13"/>
      <c r="C8" s="24">
        <v>5</v>
      </c>
      <c r="D8" s="337" t="s">
        <v>14</v>
      </c>
      <c r="E8" s="337"/>
      <c r="F8" s="102"/>
      <c r="G8" s="103" t="s">
        <v>9</v>
      </c>
      <c r="H8" s="103">
        <v>18</v>
      </c>
      <c r="I8" s="39">
        <v>1771000</v>
      </c>
      <c r="J8" s="31">
        <f t="shared" si="0"/>
        <v>336490</v>
      </c>
      <c r="K8" s="30">
        <f t="shared" si="1"/>
        <v>2107490</v>
      </c>
      <c r="L8" s="31">
        <f t="shared" si="4"/>
        <v>37934820</v>
      </c>
      <c r="M8" s="35"/>
      <c r="N8" s="51">
        <v>1899900</v>
      </c>
      <c r="O8" s="52">
        <f t="shared" si="2"/>
        <v>360981</v>
      </c>
      <c r="P8" s="52">
        <f t="shared" si="3"/>
        <v>2260881</v>
      </c>
      <c r="Q8" s="56">
        <f t="shared" si="5"/>
        <v>40695858</v>
      </c>
      <c r="S8" s="52">
        <v>1255000</v>
      </c>
      <c r="T8" s="48">
        <f t="shared" si="6"/>
        <v>238450</v>
      </c>
      <c r="U8" s="48">
        <f t="shared" si="7"/>
        <v>1493450</v>
      </c>
      <c r="V8" s="56">
        <f t="shared" si="8"/>
        <v>26882100</v>
      </c>
      <c r="X8" s="70">
        <v>1290000</v>
      </c>
      <c r="Y8" s="48">
        <f t="shared" si="9"/>
        <v>245100</v>
      </c>
      <c r="Z8" s="48">
        <f t="shared" si="10"/>
        <v>1535100</v>
      </c>
      <c r="AA8" s="48">
        <f t="shared" si="11"/>
        <v>27631800</v>
      </c>
      <c r="AC8" s="76">
        <v>3167713</v>
      </c>
      <c r="AD8" s="72">
        <f t="shared" si="22"/>
        <v>601865.47</v>
      </c>
      <c r="AE8" s="72">
        <f t="shared" si="23"/>
        <v>3769578.4699999997</v>
      </c>
      <c r="AF8" s="72">
        <f t="shared" si="24"/>
        <v>67852412.459999993</v>
      </c>
      <c r="AH8" s="89">
        <v>5090909</v>
      </c>
      <c r="AI8" s="89">
        <f t="shared" si="12"/>
        <v>967272.71</v>
      </c>
      <c r="AJ8" s="39">
        <f t="shared" si="13"/>
        <v>6058181.71</v>
      </c>
      <c r="AK8" s="88">
        <f t="shared" si="14"/>
        <v>109047270.78</v>
      </c>
      <c r="AO8" s="60">
        <f t="shared" si="15"/>
        <v>1493450</v>
      </c>
      <c r="AP8" s="60">
        <f t="shared" si="16"/>
        <v>2870780.1966666668</v>
      </c>
      <c r="AQ8" s="60">
        <f t="shared" si="17"/>
        <v>2184185.5</v>
      </c>
      <c r="AR8" s="60">
        <f t="shared" si="18"/>
        <v>2509001.6383336009</v>
      </c>
      <c r="AS8" s="48">
        <f t="shared" si="19"/>
        <v>2248736.372640552</v>
      </c>
      <c r="AT8" s="48">
        <f t="shared" si="20"/>
        <v>1766524.0307556549</v>
      </c>
      <c r="AU8" s="61">
        <f t="shared" si="21"/>
        <v>0.61534632042077242</v>
      </c>
    </row>
    <row r="9" spans="1:51" ht="116.5" customHeight="1" x14ac:dyDescent="0.35">
      <c r="A9" s="13"/>
      <c r="B9" s="13"/>
      <c r="C9" s="24">
        <v>6</v>
      </c>
      <c r="D9" s="337" t="s">
        <v>15</v>
      </c>
      <c r="E9" s="337"/>
      <c r="F9" s="102"/>
      <c r="G9" s="103" t="s">
        <v>9</v>
      </c>
      <c r="H9" s="103">
        <v>1</v>
      </c>
      <c r="I9" s="39">
        <v>2389200</v>
      </c>
      <c r="J9" s="31">
        <f t="shared" si="0"/>
        <v>453948</v>
      </c>
      <c r="K9" s="30">
        <f t="shared" si="1"/>
        <v>2843148</v>
      </c>
      <c r="L9" s="31">
        <f t="shared" si="4"/>
        <v>2843148</v>
      </c>
      <c r="M9" s="34"/>
      <c r="N9" s="53">
        <v>2562960</v>
      </c>
      <c r="O9" s="54">
        <f t="shared" si="2"/>
        <v>486962.4</v>
      </c>
      <c r="P9" s="54">
        <f t="shared" si="3"/>
        <v>3049922.4</v>
      </c>
      <c r="Q9" s="56">
        <f t="shared" si="5"/>
        <v>3049922.4</v>
      </c>
      <c r="R9" s="17"/>
      <c r="S9" s="54">
        <v>1750000</v>
      </c>
      <c r="T9" s="48">
        <f t="shared" si="6"/>
        <v>332500</v>
      </c>
      <c r="U9" s="48">
        <f t="shared" si="7"/>
        <v>2082500</v>
      </c>
      <c r="V9" s="56">
        <f t="shared" si="8"/>
        <v>2082500</v>
      </c>
      <c r="W9" s="17"/>
      <c r="X9" s="54">
        <v>1380000</v>
      </c>
      <c r="Y9" s="48">
        <f t="shared" si="9"/>
        <v>262200</v>
      </c>
      <c r="Z9" s="48">
        <f t="shared" si="10"/>
        <v>1642200</v>
      </c>
      <c r="AA9" s="48">
        <f t="shared" si="11"/>
        <v>1642200</v>
      </c>
      <c r="AB9" s="17"/>
      <c r="AC9" s="77">
        <v>2861306</v>
      </c>
      <c r="AD9" s="72">
        <f t="shared" si="22"/>
        <v>543648.14</v>
      </c>
      <c r="AE9" s="72">
        <f t="shared" si="23"/>
        <v>3404954.14</v>
      </c>
      <c r="AF9" s="72">
        <f t="shared" si="24"/>
        <v>3404954.14</v>
      </c>
      <c r="AG9" s="17"/>
      <c r="AH9" s="89">
        <v>6583651</v>
      </c>
      <c r="AI9" s="89">
        <f t="shared" si="12"/>
        <v>1250893.69</v>
      </c>
      <c r="AJ9" s="39">
        <f t="shared" si="13"/>
        <v>7834544.6899999995</v>
      </c>
      <c r="AK9" s="88">
        <f t="shared" si="14"/>
        <v>7834544.6899999995</v>
      </c>
      <c r="AL9" s="17"/>
      <c r="AM9" s="17"/>
      <c r="AN9" s="17"/>
      <c r="AO9" s="60">
        <f t="shared" si="15"/>
        <v>1642200</v>
      </c>
      <c r="AP9" s="60">
        <f t="shared" si="16"/>
        <v>3476211.5383333336</v>
      </c>
      <c r="AQ9" s="60">
        <f t="shared" si="17"/>
        <v>2946535.2</v>
      </c>
      <c r="AR9" s="60">
        <f t="shared" si="18"/>
        <v>3041146.842658462</v>
      </c>
      <c r="AS9" s="48">
        <f t="shared" si="19"/>
        <v>2739649.8979900004</v>
      </c>
      <c r="AT9" s="48">
        <f t="shared" si="20"/>
        <v>2231083.4823280503</v>
      </c>
      <c r="AU9" s="61">
        <f t="shared" si="21"/>
        <v>0.64181464727481496</v>
      </c>
      <c r="AV9" s="17"/>
      <c r="AW9" s="17"/>
    </row>
    <row r="10" spans="1:51" ht="147" customHeight="1" x14ac:dyDescent="0.35">
      <c r="A10" s="13"/>
      <c r="B10" s="13"/>
      <c r="C10" s="24">
        <v>7</v>
      </c>
      <c r="D10" s="337" t="s">
        <v>16</v>
      </c>
      <c r="E10" s="337"/>
      <c r="F10" s="102"/>
      <c r="G10" s="103" t="s">
        <v>9</v>
      </c>
      <c r="H10" s="103">
        <v>3</v>
      </c>
      <c r="I10" s="39">
        <v>2302300</v>
      </c>
      <c r="J10" s="31">
        <f t="shared" si="0"/>
        <v>437437</v>
      </c>
      <c r="K10" s="30">
        <f t="shared" si="1"/>
        <v>2739737</v>
      </c>
      <c r="L10" s="31">
        <f t="shared" si="4"/>
        <v>8219211</v>
      </c>
      <c r="M10" s="34"/>
      <c r="N10" s="53">
        <v>2469740</v>
      </c>
      <c r="O10" s="55">
        <f t="shared" si="2"/>
        <v>469250.6</v>
      </c>
      <c r="P10" s="55">
        <f t="shared" si="3"/>
        <v>2938990.6</v>
      </c>
      <c r="Q10" s="56">
        <f t="shared" si="5"/>
        <v>8816971.8000000007</v>
      </c>
      <c r="R10" s="18"/>
      <c r="S10" s="55">
        <v>1450000</v>
      </c>
      <c r="T10" s="48">
        <f t="shared" si="6"/>
        <v>275500</v>
      </c>
      <c r="U10" s="48">
        <f t="shared" si="7"/>
        <v>1725500</v>
      </c>
      <c r="V10" s="56">
        <f t="shared" si="8"/>
        <v>5176500</v>
      </c>
      <c r="W10" s="18"/>
      <c r="X10" s="55">
        <v>1650000</v>
      </c>
      <c r="Y10" s="48">
        <f t="shared" si="9"/>
        <v>313500</v>
      </c>
      <c r="Z10" s="48">
        <f t="shared" si="10"/>
        <v>1963500</v>
      </c>
      <c r="AA10" s="48">
        <f t="shared" si="11"/>
        <v>5890500</v>
      </c>
      <c r="AB10" s="18"/>
      <c r="AC10" s="78">
        <v>3721431</v>
      </c>
      <c r="AD10" s="72">
        <f t="shared" si="22"/>
        <v>707071.89</v>
      </c>
      <c r="AE10" s="72">
        <f t="shared" si="23"/>
        <v>4428502.8899999997</v>
      </c>
      <c r="AF10" s="72">
        <f t="shared" si="24"/>
        <v>13285508.669999998</v>
      </c>
      <c r="AG10" s="18"/>
      <c r="AH10" s="89">
        <v>2091673</v>
      </c>
      <c r="AI10" s="89">
        <f t="shared" si="12"/>
        <v>397417.87</v>
      </c>
      <c r="AJ10" s="39">
        <f t="shared" si="13"/>
        <v>2489090.87</v>
      </c>
      <c r="AK10" s="88">
        <f t="shared" si="14"/>
        <v>7467272.6100000003</v>
      </c>
      <c r="AL10" s="18"/>
      <c r="AM10" s="18"/>
      <c r="AN10" s="18"/>
      <c r="AO10" s="60">
        <f>MIN(K10,P10,U10,Z10,AE10,AJ10)</f>
        <v>1725500</v>
      </c>
      <c r="AP10" s="60">
        <f t="shared" si="16"/>
        <v>2714220.2266666666</v>
      </c>
      <c r="AQ10" s="60">
        <f t="shared" si="17"/>
        <v>2614413.9350000001</v>
      </c>
      <c r="AR10" s="60">
        <f t="shared" si="18"/>
        <v>2588362.5301864315</v>
      </c>
      <c r="AS10" s="48">
        <f t="shared" si="19"/>
        <v>2477648.248866302</v>
      </c>
      <c r="AT10" s="48">
        <f t="shared" si="20"/>
        <v>957263.77230462024</v>
      </c>
      <c r="AU10" s="61">
        <f t="shared" si="21"/>
        <v>0.35268463586694132</v>
      </c>
      <c r="AV10" s="18"/>
      <c r="AW10" s="18"/>
    </row>
    <row r="11" spans="1:51" ht="122" customHeight="1" x14ac:dyDescent="0.35">
      <c r="A11" s="13"/>
      <c r="B11" s="13"/>
      <c r="C11" s="24">
        <v>8</v>
      </c>
      <c r="D11" s="337" t="s">
        <v>17</v>
      </c>
      <c r="E11" s="337"/>
      <c r="F11" s="102"/>
      <c r="G11" s="103" t="s">
        <v>9</v>
      </c>
      <c r="H11" s="103">
        <v>10</v>
      </c>
      <c r="I11" s="39">
        <v>1381600</v>
      </c>
      <c r="J11" s="31">
        <f t="shared" si="0"/>
        <v>262504</v>
      </c>
      <c r="K11" s="30">
        <f t="shared" si="1"/>
        <v>1644104</v>
      </c>
      <c r="L11" s="31">
        <f t="shared" si="4"/>
        <v>16441040</v>
      </c>
      <c r="M11" s="34"/>
      <c r="N11" s="53">
        <v>1482080</v>
      </c>
      <c r="O11" s="54">
        <f t="shared" si="2"/>
        <v>281595.2</v>
      </c>
      <c r="P11" s="54">
        <f t="shared" si="3"/>
        <v>1763675.2</v>
      </c>
      <c r="Q11" s="56">
        <f t="shared" si="5"/>
        <v>17636752</v>
      </c>
      <c r="R11" s="17"/>
      <c r="S11" s="54">
        <v>895000</v>
      </c>
      <c r="T11" s="48">
        <f t="shared" si="6"/>
        <v>170050</v>
      </c>
      <c r="U11" s="48">
        <f t="shared" si="7"/>
        <v>1065050</v>
      </c>
      <c r="V11" s="56">
        <f t="shared" si="8"/>
        <v>10650500</v>
      </c>
      <c r="W11" s="17"/>
      <c r="X11" s="54">
        <v>880000</v>
      </c>
      <c r="Y11" s="48">
        <f t="shared" si="9"/>
        <v>167200</v>
      </c>
      <c r="Z11" s="48">
        <f t="shared" si="10"/>
        <v>1047200</v>
      </c>
      <c r="AA11" s="48">
        <f t="shared" si="11"/>
        <v>10472000</v>
      </c>
      <c r="AB11" s="17"/>
      <c r="AC11" s="77">
        <v>2264401</v>
      </c>
      <c r="AD11" s="72">
        <f t="shared" si="22"/>
        <v>430236.19</v>
      </c>
      <c r="AE11" s="72">
        <f t="shared" si="23"/>
        <v>2694637.19</v>
      </c>
      <c r="AF11" s="72">
        <f t="shared" si="24"/>
        <v>26946371.899999999</v>
      </c>
      <c r="AG11" s="17"/>
      <c r="AH11" s="89">
        <v>1436210</v>
      </c>
      <c r="AI11" s="89">
        <f t="shared" si="12"/>
        <v>272879.90000000002</v>
      </c>
      <c r="AJ11" s="39">
        <f t="shared" si="13"/>
        <v>1709089.9</v>
      </c>
      <c r="AK11" s="88">
        <f t="shared" si="14"/>
        <v>17090899</v>
      </c>
      <c r="AL11" s="17"/>
      <c r="AM11" s="17"/>
      <c r="AN11" s="17"/>
      <c r="AO11" s="60">
        <f>MIN(K11,P11,U11,Z11,AE11,AJ11)</f>
        <v>1047200</v>
      </c>
      <c r="AP11" s="60">
        <f t="shared" si="16"/>
        <v>1653959.3816666668</v>
      </c>
      <c r="AQ11" s="60">
        <f t="shared" si="17"/>
        <v>1676596.95</v>
      </c>
      <c r="AR11" s="60">
        <f t="shared" si="18"/>
        <v>1568563.5614283972</v>
      </c>
      <c r="AS11" s="48">
        <f t="shared" si="19"/>
        <v>1490573.4141803582</v>
      </c>
      <c r="AT11" s="48">
        <f t="shared" si="20"/>
        <v>602188.6035462732</v>
      </c>
      <c r="AU11" s="61">
        <f t="shared" si="21"/>
        <v>0.36408911259928156</v>
      </c>
      <c r="AV11" s="17"/>
      <c r="AW11" s="17"/>
    </row>
    <row r="12" spans="1:51" s="7" customFormat="1" ht="203.5" customHeight="1" x14ac:dyDescent="0.35">
      <c r="A12" s="13"/>
      <c r="B12" s="13"/>
      <c r="C12" s="24">
        <v>9</v>
      </c>
      <c r="D12" s="310" t="s">
        <v>18</v>
      </c>
      <c r="E12" s="310"/>
      <c r="F12" s="27"/>
      <c r="G12" s="24" t="s">
        <v>9</v>
      </c>
      <c r="H12" s="24">
        <v>1</v>
      </c>
      <c r="I12" s="39">
        <v>8254400</v>
      </c>
      <c r="J12" s="31">
        <f t="shared" si="0"/>
        <v>1568336</v>
      </c>
      <c r="K12" s="30">
        <f t="shared" si="1"/>
        <v>9822736</v>
      </c>
      <c r="L12" s="31">
        <f t="shared" si="4"/>
        <v>9822736</v>
      </c>
      <c r="M12" s="35"/>
      <c r="N12" s="51">
        <v>8854720</v>
      </c>
      <c r="O12" s="52">
        <f t="shared" si="2"/>
        <v>1682396.8</v>
      </c>
      <c r="P12" s="52">
        <f t="shared" si="3"/>
        <v>10537116.800000001</v>
      </c>
      <c r="Q12" s="56">
        <f t="shared" si="5"/>
        <v>10537116.800000001</v>
      </c>
      <c r="S12" s="52">
        <v>7300000</v>
      </c>
      <c r="T12" s="48">
        <f t="shared" si="6"/>
        <v>1387000</v>
      </c>
      <c r="U12" s="48">
        <f t="shared" si="7"/>
        <v>8687000</v>
      </c>
      <c r="V12" s="56">
        <f t="shared" si="8"/>
        <v>8687000</v>
      </c>
      <c r="X12" s="70">
        <v>7200000</v>
      </c>
      <c r="Y12" s="48">
        <f t="shared" si="9"/>
        <v>1368000</v>
      </c>
      <c r="Z12" s="48">
        <f t="shared" si="10"/>
        <v>8568000</v>
      </c>
      <c r="AA12" s="48">
        <f t="shared" si="11"/>
        <v>8568000</v>
      </c>
      <c r="AC12" s="76">
        <v>15605500</v>
      </c>
      <c r="AD12" s="72">
        <f t="shared" si="22"/>
        <v>2965045</v>
      </c>
      <c r="AE12" s="72">
        <f t="shared" si="23"/>
        <v>18570545</v>
      </c>
      <c r="AF12" s="72">
        <f t="shared" si="24"/>
        <v>18570545</v>
      </c>
      <c r="AH12" s="89">
        <v>13628724</v>
      </c>
      <c r="AI12" s="89">
        <f t="shared" si="12"/>
        <v>2589457.56</v>
      </c>
      <c r="AJ12" s="39">
        <f t="shared" si="13"/>
        <v>16218181.560000001</v>
      </c>
      <c r="AK12" s="88">
        <f t="shared" si="14"/>
        <v>16218181.560000001</v>
      </c>
      <c r="AO12" s="60">
        <f>MIN(K12,P12,U12,Z12,AE12,AJ12)</f>
        <v>8568000</v>
      </c>
      <c r="AP12" s="60">
        <f t="shared" si="16"/>
        <v>12067263.226666667</v>
      </c>
      <c r="AQ12" s="60">
        <f t="shared" si="17"/>
        <v>10179926.4</v>
      </c>
      <c r="AR12" s="60">
        <f t="shared" si="18"/>
        <v>11505929.944948262</v>
      </c>
      <c r="AS12" s="48">
        <f t="shared" si="19"/>
        <v>11028538.990273667</v>
      </c>
      <c r="AT12" s="48">
        <f t="shared" si="20"/>
        <v>4256126.6429164819</v>
      </c>
      <c r="AU12" s="61">
        <f>AT12/AP12</f>
        <v>0.35270024055753935</v>
      </c>
    </row>
    <row r="13" spans="1:51" ht="329" customHeight="1" x14ac:dyDescent="0.35">
      <c r="A13" s="13"/>
      <c r="B13" s="13"/>
      <c r="C13" s="24">
        <v>10</v>
      </c>
      <c r="D13" s="310" t="s">
        <v>19</v>
      </c>
      <c r="E13" s="310"/>
      <c r="F13" s="27"/>
      <c r="G13" s="24" t="s">
        <v>9</v>
      </c>
      <c r="H13" s="24">
        <v>40</v>
      </c>
      <c r="I13" s="39">
        <v>382800</v>
      </c>
      <c r="J13" s="31">
        <f t="shared" si="0"/>
        <v>72732</v>
      </c>
      <c r="K13" s="30">
        <f t="shared" si="1"/>
        <v>455532</v>
      </c>
      <c r="L13" s="31">
        <f t="shared" si="4"/>
        <v>18221280</v>
      </c>
      <c r="M13" s="34"/>
      <c r="N13" s="53">
        <v>410640</v>
      </c>
      <c r="O13" s="54">
        <f t="shared" si="2"/>
        <v>78021.600000000006</v>
      </c>
      <c r="P13" s="54">
        <f t="shared" si="3"/>
        <v>488661.6</v>
      </c>
      <c r="Q13" s="56">
        <f>H13*P13</f>
        <v>19546464</v>
      </c>
      <c r="R13" s="17"/>
      <c r="S13" s="54"/>
      <c r="T13" s="54"/>
      <c r="U13" s="54"/>
      <c r="V13" s="56">
        <f t="shared" ref="V13" si="25">H13*U13</f>
        <v>0</v>
      </c>
      <c r="W13" s="17"/>
      <c r="X13" s="54">
        <v>533000</v>
      </c>
      <c r="Y13" s="48">
        <f t="shared" si="9"/>
        <v>101270</v>
      </c>
      <c r="Z13" s="48">
        <f t="shared" si="10"/>
        <v>634270</v>
      </c>
      <c r="AA13" s="48">
        <f t="shared" si="11"/>
        <v>25370800</v>
      </c>
      <c r="AB13" s="17"/>
      <c r="AC13" s="77">
        <v>703900</v>
      </c>
      <c r="AD13" s="72">
        <f t="shared" si="22"/>
        <v>133741</v>
      </c>
      <c r="AE13" s="72">
        <f t="shared" si="23"/>
        <v>837641</v>
      </c>
      <c r="AF13" s="72">
        <f t="shared" si="24"/>
        <v>33505640</v>
      </c>
      <c r="AG13" s="17"/>
      <c r="AH13" s="89">
        <v>817417</v>
      </c>
      <c r="AI13" s="89">
        <f t="shared" si="12"/>
        <v>155309.23000000001</v>
      </c>
      <c r="AJ13" s="39">
        <f t="shared" si="13"/>
        <v>972726.23</v>
      </c>
      <c r="AK13" s="88">
        <f t="shared" si="14"/>
        <v>38909049.200000003</v>
      </c>
      <c r="AL13" s="17"/>
      <c r="AM13" s="17"/>
      <c r="AN13" s="17"/>
      <c r="AO13" s="60">
        <f>MIN(K13,P13,Z13,AE13,AJ13)</f>
        <v>455532</v>
      </c>
      <c r="AP13" s="60">
        <f>AVERAGE(K13,P13,Z13,AE13,AJ13)</f>
        <v>677766.16599999997</v>
      </c>
      <c r="AQ13" s="60">
        <f>MEDIAN(K13,P13,Z13,AE13,AJ13)</f>
        <v>634270</v>
      </c>
      <c r="AR13" s="60">
        <f>GEOMEAN(K13,P13,Z13,AE13,AJ13)</f>
        <v>648888.33270864189</v>
      </c>
      <c r="AS13" s="48">
        <f>HARMEAN(K13,P13,U13,Z13,AE13,AJ13)</f>
        <v>621880.92659075873</v>
      </c>
      <c r="AT13" s="48">
        <f>STDEV(K13,P13,U13,Z13,AE13,AJ13)</f>
        <v>223384.13091459434</v>
      </c>
      <c r="AU13" s="61">
        <f>AT13/AP13</f>
        <v>0.32958879053073648</v>
      </c>
      <c r="AV13" s="17"/>
      <c r="AW13" s="17"/>
    </row>
    <row r="14" spans="1:51" ht="409.6" customHeight="1" x14ac:dyDescent="0.35">
      <c r="A14" s="13"/>
      <c r="B14" s="13"/>
      <c r="C14" s="318">
        <v>11</v>
      </c>
      <c r="D14" s="310" t="s">
        <v>26</v>
      </c>
      <c r="E14" s="310"/>
      <c r="F14" s="318"/>
      <c r="G14" s="318" t="s">
        <v>9</v>
      </c>
      <c r="H14" s="318">
        <v>3</v>
      </c>
      <c r="I14" s="319">
        <v>2321000</v>
      </c>
      <c r="J14" s="321">
        <f t="shared" si="0"/>
        <v>440990</v>
      </c>
      <c r="K14" s="323">
        <f t="shared" si="1"/>
        <v>2761990</v>
      </c>
      <c r="L14" s="323">
        <f>H14*K14</f>
        <v>8285970</v>
      </c>
      <c r="M14" s="34"/>
      <c r="N14" s="314">
        <v>2489800</v>
      </c>
      <c r="O14" s="314">
        <f t="shared" si="2"/>
        <v>473062</v>
      </c>
      <c r="P14" s="314">
        <f t="shared" si="3"/>
        <v>2962862</v>
      </c>
      <c r="Q14" s="316">
        <f>H14*P14</f>
        <v>8888586</v>
      </c>
      <c r="R14" s="17"/>
      <c r="S14" s="314">
        <v>1650000</v>
      </c>
      <c r="T14" s="314">
        <f>S14*19%</f>
        <v>313500</v>
      </c>
      <c r="U14" s="314">
        <f>S14+T14</f>
        <v>1963500</v>
      </c>
      <c r="V14" s="316">
        <f>H14*U14</f>
        <v>5890500</v>
      </c>
      <c r="W14" s="17"/>
      <c r="X14" s="314">
        <v>2400000</v>
      </c>
      <c r="Y14" s="314">
        <f>X14*19%</f>
        <v>456000</v>
      </c>
      <c r="Z14" s="314">
        <f>X14+Y14</f>
        <v>2856000</v>
      </c>
      <c r="AA14" s="316">
        <f>H14*Z14</f>
        <v>8568000</v>
      </c>
      <c r="AB14" s="17"/>
      <c r="AC14" s="333">
        <v>5320530</v>
      </c>
      <c r="AD14" s="333">
        <f>AC14*19%</f>
        <v>1010900.7000000001</v>
      </c>
      <c r="AE14" s="333">
        <f>AC14+AD14</f>
        <v>6331430.7000000002</v>
      </c>
      <c r="AF14" s="335">
        <f>AE14*H14</f>
        <v>18994292.100000001</v>
      </c>
      <c r="AG14" s="17"/>
      <c r="AH14" s="361">
        <v>4449197</v>
      </c>
      <c r="AI14" s="361">
        <f>+AH14*19%</f>
        <v>845347.43</v>
      </c>
      <c r="AJ14" s="319">
        <f>+AH14+AI14</f>
        <v>5294544.43</v>
      </c>
      <c r="AK14" s="363">
        <f>AJ14*H14</f>
        <v>15883633.289999999</v>
      </c>
      <c r="AL14" s="17"/>
      <c r="AM14" s="17"/>
      <c r="AN14" s="17"/>
      <c r="AO14" s="316">
        <f>MIN(K14,P14,U14,Z14,AE14,AJ14)</f>
        <v>1963500</v>
      </c>
      <c r="AP14" s="316">
        <f>AVERAGE(K14,P14,U14,Z14,AE14,AJ14)</f>
        <v>3695054.5216666665</v>
      </c>
      <c r="AQ14" s="316">
        <f>MEDIAN(K14,P14,U14,Z14,AE14,AJ14)</f>
        <v>2909431</v>
      </c>
      <c r="AR14" s="316">
        <f>GEOMEAN(K14,P14,U13,U14,Z14,AE14,AJ14)</f>
        <v>3397625.5580165554</v>
      </c>
      <c r="AS14" s="316">
        <f>HARMEAN(K14,P14,U14,Z14,AE14,AJ14)</f>
        <v>3148251.4381764964</v>
      </c>
      <c r="AT14" s="316">
        <f>STDEV(K14,P14,U14,Z14,AE14,AJ14)</f>
        <v>1709845.3826445737</v>
      </c>
      <c r="AU14" s="329">
        <f>AT14/AP14</f>
        <v>0.46273887776717904</v>
      </c>
      <c r="AV14" s="17"/>
      <c r="AW14" s="17"/>
    </row>
    <row r="15" spans="1:51" ht="334.5" customHeight="1" x14ac:dyDescent="0.35">
      <c r="A15" s="13"/>
      <c r="B15" s="13"/>
      <c r="C15" s="317"/>
      <c r="D15" s="310" t="s">
        <v>27</v>
      </c>
      <c r="E15" s="310"/>
      <c r="F15" s="317"/>
      <c r="G15" s="317"/>
      <c r="H15" s="317"/>
      <c r="I15" s="320"/>
      <c r="J15" s="322"/>
      <c r="K15" s="324"/>
      <c r="L15" s="324"/>
      <c r="M15" s="34"/>
      <c r="N15" s="315"/>
      <c r="O15" s="315"/>
      <c r="P15" s="315"/>
      <c r="Q15" s="317"/>
      <c r="R15" s="17"/>
      <c r="S15" s="315"/>
      <c r="T15" s="315"/>
      <c r="U15" s="315"/>
      <c r="V15" s="317"/>
      <c r="W15" s="17"/>
      <c r="X15" s="315"/>
      <c r="Y15" s="315"/>
      <c r="Z15" s="315"/>
      <c r="AA15" s="317"/>
      <c r="AB15" s="17"/>
      <c r="AC15" s="334"/>
      <c r="AD15" s="334"/>
      <c r="AE15" s="334"/>
      <c r="AF15" s="336"/>
      <c r="AG15" s="17"/>
      <c r="AH15" s="362"/>
      <c r="AI15" s="362"/>
      <c r="AJ15" s="320"/>
      <c r="AK15" s="364"/>
      <c r="AL15" s="17"/>
      <c r="AM15" s="17"/>
      <c r="AN15" s="17"/>
      <c r="AO15" s="317"/>
      <c r="AP15" s="317"/>
      <c r="AQ15" s="317"/>
      <c r="AR15" s="317"/>
      <c r="AS15" s="317"/>
      <c r="AT15" s="317"/>
      <c r="AU15" s="330"/>
      <c r="AV15" s="17"/>
      <c r="AW15" s="17"/>
    </row>
    <row r="16" spans="1:51" s="19" customFormat="1" ht="148" customHeight="1" x14ac:dyDescent="0.45">
      <c r="A16" s="13"/>
      <c r="B16" s="13"/>
      <c r="C16" s="24">
        <v>12</v>
      </c>
      <c r="D16" s="310" t="s">
        <v>20</v>
      </c>
      <c r="E16" s="310"/>
      <c r="F16" s="27"/>
      <c r="G16" s="24" t="s">
        <v>9</v>
      </c>
      <c r="H16" s="24">
        <v>3</v>
      </c>
      <c r="I16" s="39">
        <v>3604700</v>
      </c>
      <c r="J16" s="31">
        <f t="shared" ref="J16:J21" si="26">I16*19%</f>
        <v>684893</v>
      </c>
      <c r="K16" s="30">
        <f t="shared" ref="K16:K21" si="27">I16+J16</f>
        <v>4289593</v>
      </c>
      <c r="L16" s="30">
        <f t="shared" ref="L16:L21" si="28">H16*K16</f>
        <v>12868779</v>
      </c>
      <c r="M16" s="36"/>
      <c r="N16" s="44">
        <v>3866860</v>
      </c>
      <c r="O16" s="45">
        <f t="shared" ref="O16:O21" si="29">N16*19%</f>
        <v>734703.4</v>
      </c>
      <c r="P16" s="45">
        <f t="shared" ref="P16:P21" si="30">N16+O16</f>
        <v>4601563.4000000004</v>
      </c>
      <c r="Q16" s="46">
        <f>H16*P16</f>
        <v>13804690.200000001</v>
      </c>
      <c r="S16" s="45">
        <v>1980000</v>
      </c>
      <c r="T16" s="45">
        <f>S16*19%</f>
        <v>376200</v>
      </c>
      <c r="U16" s="45">
        <f>S16+T16</f>
        <v>2356200</v>
      </c>
      <c r="V16" s="46">
        <f>H16*U16</f>
        <v>7068600</v>
      </c>
      <c r="X16" s="44"/>
      <c r="Y16" s="45"/>
      <c r="Z16" s="45"/>
      <c r="AA16" s="46"/>
      <c r="AC16" s="79">
        <v>4990000</v>
      </c>
      <c r="AD16" s="80">
        <f t="shared" ref="AD16:AD21" si="31">AC16*19%</f>
        <v>948100</v>
      </c>
      <c r="AE16" s="80">
        <f t="shared" ref="AE16:AE21" si="32">AC16+AD16</f>
        <v>5938100</v>
      </c>
      <c r="AF16" s="81">
        <f t="shared" ref="AF16:AF21" si="33">AE16*H16</f>
        <v>17814300</v>
      </c>
      <c r="AH16" s="89">
        <v>2276546</v>
      </c>
      <c r="AI16" s="89">
        <f>+AH16*19%</f>
        <v>432543.74</v>
      </c>
      <c r="AJ16" s="39">
        <f>+AH16+AI16</f>
        <v>2709089.74</v>
      </c>
      <c r="AK16" s="87">
        <f>AJ16*H16</f>
        <v>8127269.2200000007</v>
      </c>
      <c r="AO16" s="60">
        <f>MIN(K16,P16,U16,AE16,AJ16)</f>
        <v>2356200</v>
      </c>
      <c r="AP16" s="60">
        <f>AVERAGE(K16,P16,U16,AE16,AJ16)</f>
        <v>3978909.2280000001</v>
      </c>
      <c r="AQ16" s="60">
        <f>MEDIAN(K16,P16,U16,AE16,AJ16)</f>
        <v>4289593</v>
      </c>
      <c r="AR16" s="60">
        <f>GEOMEAN(K16,P16,U16,AE16,AJ16)</f>
        <v>3756651.5145055014</v>
      </c>
      <c r="AS16" s="48">
        <f>HARMEAN(K16,P16,U16,AE16,AJ16)</f>
        <v>3540114.5018768525</v>
      </c>
      <c r="AT16" s="48">
        <f>STDEV(K16,P16,U16,AE16,AJ16)</f>
        <v>1463581.0428469658</v>
      </c>
      <c r="AU16" s="61">
        <f t="shared" ref="AU16" si="34">AT16/AP16</f>
        <v>0.36783474037246011</v>
      </c>
    </row>
    <row r="17" spans="1:49" s="19" customFormat="1" ht="409.6" customHeight="1" x14ac:dyDescent="0.45">
      <c r="A17" s="13"/>
      <c r="B17" s="13"/>
      <c r="C17" s="24">
        <v>13</v>
      </c>
      <c r="D17" s="310" t="s">
        <v>21</v>
      </c>
      <c r="E17" s="310"/>
      <c r="F17" s="27"/>
      <c r="G17" s="24" t="s">
        <v>9</v>
      </c>
      <c r="H17" s="24">
        <v>3</v>
      </c>
      <c r="I17" s="39">
        <v>1199000</v>
      </c>
      <c r="J17" s="31">
        <f t="shared" si="26"/>
        <v>227810</v>
      </c>
      <c r="K17" s="30">
        <f t="shared" si="27"/>
        <v>1426810</v>
      </c>
      <c r="L17" s="30">
        <f t="shared" si="28"/>
        <v>4280430</v>
      </c>
      <c r="M17" s="36"/>
      <c r="N17" s="44">
        <v>1286200</v>
      </c>
      <c r="O17" s="45">
        <f t="shared" si="29"/>
        <v>244378</v>
      </c>
      <c r="P17" s="45">
        <f t="shared" si="30"/>
        <v>1530578</v>
      </c>
      <c r="Q17" s="46">
        <f t="shared" ref="Q17:Q21" si="35">H17*P17</f>
        <v>4591734</v>
      </c>
      <c r="S17" s="45">
        <v>790000</v>
      </c>
      <c r="T17" s="45">
        <f>S17*19%</f>
        <v>150100</v>
      </c>
      <c r="U17" s="45">
        <f>S17+T17</f>
        <v>940100</v>
      </c>
      <c r="V17" s="46">
        <f>H17*U17</f>
        <v>2820300</v>
      </c>
      <c r="X17" s="44">
        <v>950000</v>
      </c>
      <c r="Y17" s="45">
        <f>X17*19%</f>
        <v>180500</v>
      </c>
      <c r="Z17" s="45">
        <f>X17+Y17</f>
        <v>1130500</v>
      </c>
      <c r="AA17" s="46">
        <f>H17*Z17</f>
        <v>3391500</v>
      </c>
      <c r="AC17" s="79">
        <v>2618600</v>
      </c>
      <c r="AD17" s="80">
        <f t="shared" si="31"/>
        <v>497534</v>
      </c>
      <c r="AE17" s="80">
        <f t="shared" si="32"/>
        <v>3116134</v>
      </c>
      <c r="AF17" s="81">
        <f t="shared" si="33"/>
        <v>9348402</v>
      </c>
      <c r="AH17" s="89">
        <v>1875636</v>
      </c>
      <c r="AI17" s="89">
        <f t="shared" ref="AI17:AI21" si="36">+AH17*19%</f>
        <v>356370.84</v>
      </c>
      <c r="AJ17" s="39">
        <f t="shared" ref="AJ17:AJ21" si="37">+AH17+AI17</f>
        <v>2232006.84</v>
      </c>
      <c r="AK17" s="87">
        <f t="shared" ref="AK17:AK21" si="38">AJ17*H17</f>
        <v>6696020.5199999996</v>
      </c>
      <c r="AO17" s="60">
        <f>MIN(K17,P17,U17,Z17,AE17,AJ17)</f>
        <v>940100</v>
      </c>
      <c r="AP17" s="60">
        <f>AVERAGE(K17,P17,U17,Z17,AE17,AJ17)</f>
        <v>1729354.8066666666</v>
      </c>
      <c r="AQ17" s="60">
        <f>MEDIAN(K17,P17,U17,Z17,AE17,AJ17)</f>
        <v>1478694</v>
      </c>
      <c r="AR17" s="60">
        <f>GEOMEAN(K17,P17,U17,Z17,AE17,AJ17)</f>
        <v>1589752.9739805127</v>
      </c>
      <c r="AS17" s="48">
        <f>HARMEAN(K17,P17,U17,Z17,AE17,AJ17)</f>
        <v>1473683.3833537388</v>
      </c>
      <c r="AT17" s="48">
        <f>STDEV(K17,P17,U17,Z17,AE17,AJ17)</f>
        <v>810976.12861294008</v>
      </c>
      <c r="AU17" s="61">
        <f t="shared" ref="AU17:AU19" si="39">AT17/AP17</f>
        <v>0.46894721978776438</v>
      </c>
    </row>
    <row r="18" spans="1:49" s="19" customFormat="1" ht="369" customHeight="1" x14ac:dyDescent="0.45">
      <c r="A18" s="13"/>
      <c r="B18" s="13"/>
      <c r="C18" s="24">
        <v>14</v>
      </c>
      <c r="D18" s="310" t="s">
        <v>22</v>
      </c>
      <c r="E18" s="310"/>
      <c r="F18" s="27"/>
      <c r="G18" s="24" t="s">
        <v>9</v>
      </c>
      <c r="H18" s="24">
        <v>1</v>
      </c>
      <c r="I18" s="39">
        <v>12381600</v>
      </c>
      <c r="J18" s="31">
        <f t="shared" si="26"/>
        <v>2352504</v>
      </c>
      <c r="K18" s="30">
        <f t="shared" si="27"/>
        <v>14734104</v>
      </c>
      <c r="L18" s="30">
        <f t="shared" si="28"/>
        <v>14734104</v>
      </c>
      <c r="M18" s="36"/>
      <c r="N18" s="44">
        <v>13282080</v>
      </c>
      <c r="O18" s="45">
        <f t="shared" si="29"/>
        <v>2523595.2000000002</v>
      </c>
      <c r="P18" s="45">
        <f t="shared" si="30"/>
        <v>15805675.199999999</v>
      </c>
      <c r="Q18" s="46">
        <f t="shared" si="35"/>
        <v>15805675.199999999</v>
      </c>
      <c r="S18" s="44"/>
      <c r="T18" s="45"/>
      <c r="U18" s="45"/>
      <c r="V18" s="46"/>
      <c r="X18" s="44">
        <v>12900000</v>
      </c>
      <c r="Y18" s="45">
        <f>X18*19%</f>
        <v>2451000</v>
      </c>
      <c r="Z18" s="45">
        <f t="shared" ref="Z18:Z21" si="40">X18+Y18</f>
        <v>15351000</v>
      </c>
      <c r="AA18" s="46">
        <f t="shared" ref="AA18:AA21" si="41">H18*Z18</f>
        <v>15351000</v>
      </c>
      <c r="AC18" s="79">
        <v>22760782</v>
      </c>
      <c r="AD18" s="80">
        <f t="shared" si="31"/>
        <v>4324548.58</v>
      </c>
      <c r="AE18" s="80">
        <f t="shared" si="32"/>
        <v>27085330.579999998</v>
      </c>
      <c r="AF18" s="81">
        <f t="shared" si="33"/>
        <v>27085330.579999998</v>
      </c>
      <c r="AH18" s="89">
        <v>38197097</v>
      </c>
      <c r="AI18" s="89">
        <f t="shared" si="36"/>
        <v>7257448.4299999997</v>
      </c>
      <c r="AJ18" s="39">
        <f t="shared" si="37"/>
        <v>45454545.43</v>
      </c>
      <c r="AK18" s="87">
        <f t="shared" si="38"/>
        <v>45454545.43</v>
      </c>
      <c r="AO18" s="60">
        <f>MIN(K18,P18,Z18,AE18,AJ18)</f>
        <v>14734104</v>
      </c>
      <c r="AP18" s="60">
        <f>AVERAGE(K18,P18,Z18,AE18,AJ18)</f>
        <v>23686131.042000003</v>
      </c>
      <c r="AQ18" s="60">
        <f>MEDIAN(K18,P18,Z18,AE18,AJ18)</f>
        <v>15805675.199999999</v>
      </c>
      <c r="AR18" s="60">
        <f>GEOMEAN(K18,P18,Z18,AE18,AJ18)</f>
        <v>21316553.233563442</v>
      </c>
      <c r="AS18" s="48">
        <f>HARMEAN(K18,P18,Z18,AE18,AJ18)</f>
        <v>19592410.680136401</v>
      </c>
      <c r="AT18" s="48">
        <f>STDEV(K18,P18,Z18,AE18,AJ18)</f>
        <v>13201640.091221124</v>
      </c>
      <c r="AU18" s="61">
        <f t="shared" si="39"/>
        <v>0.55735738638835153</v>
      </c>
    </row>
    <row r="19" spans="1:49" s="19" customFormat="1" ht="409.6" customHeight="1" x14ac:dyDescent="0.45">
      <c r="A19" s="13"/>
      <c r="B19" s="13"/>
      <c r="C19" s="24">
        <v>15</v>
      </c>
      <c r="D19" s="310" t="s">
        <v>23</v>
      </c>
      <c r="E19" s="310"/>
      <c r="F19" s="27"/>
      <c r="G19" s="24" t="s">
        <v>9</v>
      </c>
      <c r="H19" s="24">
        <v>1</v>
      </c>
      <c r="I19" s="39">
        <v>5676000</v>
      </c>
      <c r="J19" s="31">
        <f t="shared" si="26"/>
        <v>1078440</v>
      </c>
      <c r="K19" s="30">
        <f t="shared" si="27"/>
        <v>6754440</v>
      </c>
      <c r="L19" s="30">
        <f t="shared" si="28"/>
        <v>6754440</v>
      </c>
      <c r="M19" s="36"/>
      <c r="N19" s="44">
        <v>6088800</v>
      </c>
      <c r="O19" s="45">
        <f t="shared" si="29"/>
        <v>1156872</v>
      </c>
      <c r="P19" s="45">
        <f t="shared" si="30"/>
        <v>7245672</v>
      </c>
      <c r="Q19" s="46">
        <f t="shared" si="35"/>
        <v>7245672</v>
      </c>
      <c r="S19" s="44"/>
      <c r="T19" s="45"/>
      <c r="U19" s="45"/>
      <c r="V19" s="46"/>
      <c r="X19" s="44">
        <v>5250000</v>
      </c>
      <c r="Y19" s="45">
        <f>X19*19%</f>
        <v>997500</v>
      </c>
      <c r="Z19" s="45">
        <f t="shared" si="40"/>
        <v>6247500</v>
      </c>
      <c r="AA19" s="46">
        <f t="shared" si="41"/>
        <v>6247500</v>
      </c>
      <c r="AC19" s="79">
        <v>3400000</v>
      </c>
      <c r="AD19" s="80">
        <f t="shared" si="31"/>
        <v>646000</v>
      </c>
      <c r="AE19" s="80">
        <f t="shared" si="32"/>
        <v>4046000</v>
      </c>
      <c r="AF19" s="81">
        <f t="shared" si="33"/>
        <v>4046000</v>
      </c>
      <c r="AH19" s="89">
        <v>5958747</v>
      </c>
      <c r="AI19" s="89">
        <f t="shared" si="36"/>
        <v>1132161.93</v>
      </c>
      <c r="AJ19" s="39">
        <f t="shared" si="37"/>
        <v>7090908.9299999997</v>
      </c>
      <c r="AK19" s="87">
        <f t="shared" si="38"/>
        <v>7090908.9299999997</v>
      </c>
      <c r="AO19" s="60">
        <f>MIN(K19,P19,Z19,AE19,AJ19)</f>
        <v>4046000</v>
      </c>
      <c r="AP19" s="60">
        <f>AVERAGE(K19,P19,Z19,AE19,AJ19)</f>
        <v>6276904.1859999998</v>
      </c>
      <c r="AQ19" s="60">
        <f>MEDIAN(K19,P19,Z19,AE19,AJ19)</f>
        <v>6754440</v>
      </c>
      <c r="AR19" s="60">
        <f>GEOMEAN(K19,P19,Z19,AE19,AJ19)</f>
        <v>6146394.2498373892</v>
      </c>
      <c r="AS19" s="48">
        <f>HARMEAN(K19,P19,Z19,AE19,AJ19)</f>
        <v>5992965.1423557829</v>
      </c>
      <c r="AT19" s="48">
        <f>STDEV(K19,P19,Z19,AE19,AJ19)</f>
        <v>1304506.9324860021</v>
      </c>
      <c r="AU19" s="61">
        <f t="shared" si="39"/>
        <v>0.20782648481325761</v>
      </c>
    </row>
    <row r="20" spans="1:49" s="20" customFormat="1" ht="143" customHeight="1" x14ac:dyDescent="0.35">
      <c r="A20" s="13"/>
      <c r="B20" s="13"/>
      <c r="C20" s="24">
        <v>16</v>
      </c>
      <c r="D20" s="310" t="s">
        <v>24</v>
      </c>
      <c r="E20" s="310"/>
      <c r="F20" s="27"/>
      <c r="G20" s="24" t="s">
        <v>9</v>
      </c>
      <c r="H20" s="24">
        <v>36</v>
      </c>
      <c r="I20" s="39">
        <v>288750</v>
      </c>
      <c r="J20" s="31">
        <f t="shared" si="26"/>
        <v>54862.5</v>
      </c>
      <c r="K20" s="30">
        <f t="shared" si="27"/>
        <v>343612.5</v>
      </c>
      <c r="L20" s="30">
        <f t="shared" si="28"/>
        <v>12370050</v>
      </c>
      <c r="M20" s="37"/>
      <c r="N20" s="40">
        <v>309750</v>
      </c>
      <c r="O20" s="41">
        <f t="shared" si="29"/>
        <v>58852.5</v>
      </c>
      <c r="P20" s="41">
        <f t="shared" si="30"/>
        <v>368602.5</v>
      </c>
      <c r="Q20" s="46">
        <f t="shared" si="35"/>
        <v>13269690</v>
      </c>
      <c r="S20" s="40"/>
      <c r="T20" s="41"/>
      <c r="U20" s="41"/>
      <c r="V20" s="46"/>
      <c r="X20" s="40">
        <v>122400</v>
      </c>
      <c r="Y20" s="41">
        <f>X20*19%</f>
        <v>23256</v>
      </c>
      <c r="Z20" s="45">
        <f t="shared" si="40"/>
        <v>145656</v>
      </c>
      <c r="AA20" s="46">
        <f t="shared" si="41"/>
        <v>5243616</v>
      </c>
      <c r="AC20" s="82">
        <v>132939</v>
      </c>
      <c r="AD20" s="80">
        <f t="shared" si="31"/>
        <v>25258.41</v>
      </c>
      <c r="AE20" s="80">
        <f t="shared" si="32"/>
        <v>158197.41</v>
      </c>
      <c r="AF20" s="81">
        <f t="shared" si="33"/>
        <v>5695106.7599999998</v>
      </c>
      <c r="AH20" s="89">
        <v>152788</v>
      </c>
      <c r="AI20" s="89">
        <f t="shared" si="36"/>
        <v>29029.72</v>
      </c>
      <c r="AJ20" s="39">
        <f t="shared" si="37"/>
        <v>181817.72</v>
      </c>
      <c r="AK20" s="87">
        <f t="shared" si="38"/>
        <v>6545437.9199999999</v>
      </c>
      <c r="AO20" s="60">
        <f>MIN(K20,P20,Z20,AE20,AJ20)</f>
        <v>145656</v>
      </c>
      <c r="AP20" s="60">
        <f>AVERAGE(K20,P20,Z20,AE20,AJ20)</f>
        <v>239577.22600000002</v>
      </c>
      <c r="AQ20" s="60">
        <f>MEDIAN(K20,P20,Z20,AE20,AJ20)</f>
        <v>181817.72</v>
      </c>
      <c r="AR20" s="60">
        <f>GEOMEAN(K20,P20,Z20,AE20,AJ20)</f>
        <v>221288.19036476506</v>
      </c>
      <c r="AS20" s="48">
        <f>HARMEAN(K20,P20,Z20,AE20,AJ20)</f>
        <v>205677.30347459498</v>
      </c>
      <c r="AT20" s="48">
        <f>STDEV(K20,P20,Z20,AE20,AJ20)</f>
        <v>107530.10188539195</v>
      </c>
      <c r="AU20" s="61">
        <f>AT20/AP20</f>
        <v>0.44883273623592229</v>
      </c>
    </row>
    <row r="21" spans="1:49" s="21" customFormat="1" ht="206" customHeight="1" x14ac:dyDescent="0.35">
      <c r="A21" s="13"/>
      <c r="B21" s="13"/>
      <c r="C21" s="24">
        <v>17</v>
      </c>
      <c r="D21" s="310" t="s">
        <v>25</v>
      </c>
      <c r="E21" s="310"/>
      <c r="F21" s="27"/>
      <c r="G21" s="24" t="s">
        <v>9</v>
      </c>
      <c r="H21" s="24">
        <v>80</v>
      </c>
      <c r="I21" s="39">
        <v>175890</v>
      </c>
      <c r="J21" s="31">
        <f t="shared" si="26"/>
        <v>33419.1</v>
      </c>
      <c r="K21" s="30">
        <f t="shared" si="27"/>
        <v>209309.1</v>
      </c>
      <c r="L21" s="30">
        <f t="shared" si="28"/>
        <v>16744728</v>
      </c>
      <c r="M21" s="38"/>
      <c r="N21" s="42">
        <v>188682</v>
      </c>
      <c r="O21" s="43">
        <f t="shared" si="29"/>
        <v>35849.58</v>
      </c>
      <c r="P21" s="43">
        <f t="shared" si="30"/>
        <v>224531.58000000002</v>
      </c>
      <c r="Q21" s="46">
        <f t="shared" si="35"/>
        <v>17962526.400000002</v>
      </c>
      <c r="S21" s="42"/>
      <c r="T21" s="43"/>
      <c r="U21" s="43"/>
      <c r="V21" s="46"/>
      <c r="X21" s="42">
        <v>22000</v>
      </c>
      <c r="Y21" s="43">
        <f>X21*19%</f>
        <v>4180</v>
      </c>
      <c r="Z21" s="45">
        <f t="shared" si="40"/>
        <v>26180</v>
      </c>
      <c r="AA21" s="46">
        <f t="shared" si="41"/>
        <v>2094400</v>
      </c>
      <c r="AC21" s="83">
        <v>291960</v>
      </c>
      <c r="AD21" s="80">
        <f t="shared" si="31"/>
        <v>55472.4</v>
      </c>
      <c r="AE21" s="80">
        <f t="shared" si="32"/>
        <v>347432.4</v>
      </c>
      <c r="AF21" s="81">
        <f t="shared" si="33"/>
        <v>27794592</v>
      </c>
      <c r="AH21" s="89">
        <v>84033</v>
      </c>
      <c r="AI21" s="89">
        <f t="shared" si="36"/>
        <v>15966.27</v>
      </c>
      <c r="AJ21" s="39">
        <f t="shared" si="37"/>
        <v>99999.27</v>
      </c>
      <c r="AK21" s="87">
        <f t="shared" si="38"/>
        <v>7999941.6000000006</v>
      </c>
      <c r="AO21" s="60">
        <f>MIN(K21,P21,Z21,AE21,AJ21)</f>
        <v>26180</v>
      </c>
      <c r="AP21" s="60">
        <f>AVERAGE(K21,P21,Z21,AE21,AJ21)</f>
        <v>181490.47000000003</v>
      </c>
      <c r="AQ21" s="60">
        <f>MEDIAN(K21,P21,Z21,AE21,AJ21)</f>
        <v>209309.1</v>
      </c>
      <c r="AR21" s="60">
        <f>GEOMEAN(K21,P21,Z21,AE21,AJ21)</f>
        <v>133715.10392111598</v>
      </c>
      <c r="AS21" s="48">
        <f>HARMEAN(K21,P21,Z21,AE21,AJ21)</f>
        <v>82909.434793730528</v>
      </c>
      <c r="AT21" s="48">
        <f>STDEV(K21,P21,Z21,AE21,AJ21)</f>
        <v>123415.24948957359</v>
      </c>
      <c r="AU21" s="61">
        <f>AT21/AP21</f>
        <v>0.68000953157250388</v>
      </c>
    </row>
    <row r="22" spans="1:49" s="22" customFormat="1" ht="30.5" customHeight="1" x14ac:dyDescent="0.35">
      <c r="A22" s="13"/>
      <c r="B22" s="13"/>
      <c r="C22" s="13"/>
      <c r="D22" s="325"/>
      <c r="E22" s="325"/>
      <c r="F22" s="13"/>
      <c r="G22" s="13"/>
      <c r="H22" s="13"/>
      <c r="I22" s="13"/>
      <c r="J22" s="28"/>
      <c r="K22" s="13"/>
      <c r="L22" s="115">
        <f>SUM(L4:L21)</f>
        <v>525844908.81999999</v>
      </c>
      <c r="Q22" s="114">
        <f>SUM(Q4:Q21)</f>
        <v>564090316.91600001</v>
      </c>
      <c r="V22" s="91">
        <f>SUM(V4:V21)</f>
        <v>248745700</v>
      </c>
      <c r="AA22" s="91">
        <f>SUM(AA2:AA21)</f>
        <v>273653590</v>
      </c>
      <c r="AC22" s="84"/>
      <c r="AD22" s="84"/>
      <c r="AE22" s="84"/>
      <c r="AF22" s="113">
        <f>SUM(AF4:AF21)</f>
        <v>433408937.28999996</v>
      </c>
      <c r="AK22" s="90">
        <f>SUM(AK4:AK21)</f>
        <v>793002219.79999983</v>
      </c>
    </row>
    <row r="23" spans="1:49" s="1" customFormat="1" ht="75" customHeight="1" x14ac:dyDescent="0.35">
      <c r="A23" s="2"/>
      <c r="B23" s="2"/>
      <c r="C23" s="29"/>
      <c r="D23" s="29"/>
      <c r="E23" s="29"/>
      <c r="F23" s="2"/>
      <c r="G23" s="2"/>
      <c r="H23" s="2"/>
      <c r="I23" s="2"/>
      <c r="J23" s="2"/>
      <c r="K23" s="2"/>
      <c r="L23" s="2"/>
      <c r="N23" s="23"/>
      <c r="O23" s="2"/>
      <c r="P23" s="2"/>
      <c r="Q23" s="2"/>
      <c r="R23" s="2"/>
      <c r="S23" s="2"/>
      <c r="T23" s="2"/>
      <c r="U23" s="2"/>
      <c r="V23" s="2"/>
      <c r="W23" s="2"/>
      <c r="X23" s="2"/>
      <c r="Y23" s="2"/>
      <c r="Z23" s="2"/>
      <c r="AA23" s="2"/>
      <c r="AB23" s="2"/>
      <c r="AC23" s="85"/>
      <c r="AD23" s="85"/>
      <c r="AE23" s="85"/>
      <c r="AF23" s="85"/>
      <c r="AG23" s="2"/>
      <c r="AH23" s="2"/>
      <c r="AI23" s="2"/>
      <c r="AJ23" s="2"/>
      <c r="AK23" s="2"/>
      <c r="AL23" s="2"/>
      <c r="AM23" s="2"/>
      <c r="AN23" s="2"/>
      <c r="AO23" s="2"/>
      <c r="AP23" s="2"/>
      <c r="AQ23" s="2"/>
      <c r="AR23" s="2"/>
      <c r="AS23" s="2"/>
      <c r="AT23" s="2"/>
      <c r="AU23" s="2"/>
      <c r="AV23" s="2"/>
      <c r="AW23" s="2"/>
    </row>
  </sheetData>
  <mergeCells count="71">
    <mergeCell ref="D9:E9"/>
    <mergeCell ref="D3:E3"/>
    <mergeCell ref="D4:E4"/>
    <mergeCell ref="D5:E5"/>
    <mergeCell ref="D6:E6"/>
    <mergeCell ref="D7:E7"/>
    <mergeCell ref="D8:E8"/>
    <mergeCell ref="D10:E10"/>
    <mergeCell ref="D11:E11"/>
    <mergeCell ref="D12:E12"/>
    <mergeCell ref="D13:E13"/>
    <mergeCell ref="C14:C15"/>
    <mergeCell ref="D14:E14"/>
    <mergeCell ref="K14:K15"/>
    <mergeCell ref="D19:E19"/>
    <mergeCell ref="F14:F15"/>
    <mergeCell ref="G14:G15"/>
    <mergeCell ref="H14:H15"/>
    <mergeCell ref="I14:I15"/>
    <mergeCell ref="AU2:AU3"/>
    <mergeCell ref="D20:E20"/>
    <mergeCell ref="D21:E21"/>
    <mergeCell ref="D22:E22"/>
    <mergeCell ref="I2:L2"/>
    <mergeCell ref="N2:Q2"/>
    <mergeCell ref="N14:N15"/>
    <mergeCell ref="O14:O15"/>
    <mergeCell ref="P14:P15"/>
    <mergeCell ref="Q14:Q15"/>
    <mergeCell ref="L14:L15"/>
    <mergeCell ref="D15:E15"/>
    <mergeCell ref="D16:E16"/>
    <mergeCell ref="D17:E17"/>
    <mergeCell ref="D18:E18"/>
    <mergeCell ref="J14:J15"/>
    <mergeCell ref="AP2:AP3"/>
    <mergeCell ref="AQ2:AQ3"/>
    <mergeCell ref="AR2:AR3"/>
    <mergeCell ref="AS2:AS3"/>
    <mergeCell ref="AT2:AT3"/>
    <mergeCell ref="S2:V2"/>
    <mergeCell ref="S14:S15"/>
    <mergeCell ref="T14:T15"/>
    <mergeCell ref="U14:U15"/>
    <mergeCell ref="V14:V15"/>
    <mergeCell ref="AC2:AF2"/>
    <mergeCell ref="AC14:AC15"/>
    <mergeCell ref="AD14:AD15"/>
    <mergeCell ref="AE14:AE15"/>
    <mergeCell ref="AF14:AF15"/>
    <mergeCell ref="X2:AA2"/>
    <mergeCell ref="X14:X15"/>
    <mergeCell ref="Y14:Y15"/>
    <mergeCell ref="Z14:Z15"/>
    <mergeCell ref="AA14:AA15"/>
    <mergeCell ref="AW2:AW3"/>
    <mergeCell ref="AX2:AX3"/>
    <mergeCell ref="AY2:AY3"/>
    <mergeCell ref="AH2:AK2"/>
    <mergeCell ref="AH14:AH15"/>
    <mergeCell ref="AI14:AI15"/>
    <mergeCell ref="AJ14:AJ15"/>
    <mergeCell ref="AK14:AK15"/>
    <mergeCell ref="AO2:AO3"/>
    <mergeCell ref="AO14:AO15"/>
    <mergeCell ref="AP14:AP15"/>
    <mergeCell ref="AQ14:AQ15"/>
    <mergeCell ref="AR14:AR15"/>
    <mergeCell ref="AS14:AS15"/>
    <mergeCell ref="AT14:AT15"/>
    <mergeCell ref="AU14:AU15"/>
  </mergeCells>
  <phoneticPr fontId="21" type="noConversion"/>
  <pageMargins left="0.6692913385826772" right="0.36" top="0.97" bottom="0.71" header="0.61" footer="0.35433070866141736"/>
  <pageSetup scale="10" fitToHeight="0" orientation="portrait" r:id="rId1"/>
  <headerFooter differentFirst="1">
    <oddHeader>&amp;L&amp;12PLAN DE NECESIDADES No._______________________________________________/ QUE EMITE LA ESCUELA DE INGENIEROS MILITARES PARA LA ADQUISICIÓN DE LOS SERVICIOS DE PAUTAS PUBLICITARIAS. PÁGINA &amp;P</oddHeader>
    <oddFooter>&amp;C&amp;P</oddFooter>
  </headerFooter>
  <rowBreaks count="1" manualBreakCount="1">
    <brk id="17" max="52" man="1"/>
  </rowBreaks>
  <colBreaks count="1" manualBreakCount="1">
    <brk id="52" min="1" max="22"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PRECIO REFERENCIA-CANTIDAD MINI</vt:lpstr>
      <vt:lpstr>ANALISIS COMPLEMENTARIO</vt:lpstr>
      <vt:lpstr>ANALISIS DE COTIZACIONES PODADA</vt:lpstr>
      <vt:lpstr>ANALISIS DE COTIZACIONES</vt:lpstr>
      <vt:lpstr>'ANALISIS DE COTIZACIONES'!Área_de_impresión</vt:lpstr>
      <vt:lpstr>'ANALISIS DE COTIZACIONES PODADA'!Área_de_impresión</vt:lpstr>
      <vt:lpstr>'PRECIO REFERENCIA-CANTIDAD MINI'!Área_de_impresión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Martinez andrea</dc:creator>
  <cp:lastModifiedBy>Martinez andrea</cp:lastModifiedBy>
  <dcterms:created xsi:type="dcterms:W3CDTF">2026-04-29T14:30:55Z</dcterms:created>
  <dcterms:modified xsi:type="dcterms:W3CDTF">2026-10-17T03:08:11Z</dcterms:modified>
</cp:coreProperties>
</file>