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lucho\Downloads\SELECCION ABREVIADA MENOR CUANTIA\CARPETA INTEGRAL SELECCION ABREVIADA MENOR CUANTIA - EVENTOS\CARPETA INTEGRAL SELECCION ABREVIADA MENOR CUANTIA - EVENTOS\"/>
    </mc:Choice>
  </mc:AlternateContent>
  <xr:revisionPtr revIDLastSave="0" documentId="13_ncr:1_{EED1454E-75AE-4814-99E3-5FBAF298CF88}" xr6:coauthVersionLast="47" xr6:coauthVersionMax="47" xr10:uidLastSave="{00000000-0000-0000-0000-000000000000}"/>
  <bookViews>
    <workbookView xWindow="-98" yWindow="-98" windowWidth="21795" windowHeight="12975" xr2:uid="{E75CBBB0-3FA5-4698-A575-A1C24E30CC21}"/>
  </bookViews>
  <sheets>
    <sheet name="ESTUDIO DE MERCADO" sheetId="1" r:id="rId1"/>
    <sheet name="BOLSA DIFUSION Y COMUNICACION " sheetId="2" r:id="rId2"/>
  </sheets>
  <definedNames>
    <definedName name="_xlnm._FilterDatabase" localSheetId="0" hidden="1">'ESTUDIO DE MERCADO'!$A$6:$C$183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U173" i="1" l="1"/>
  <c r="EU171" i="1"/>
  <c r="EU142" i="1"/>
  <c r="EU140" i="1"/>
  <c r="EU138" i="1"/>
  <c r="EU136" i="1"/>
  <c r="EU134" i="1"/>
  <c r="EU132" i="1"/>
  <c r="EU130" i="1"/>
  <c r="EU128" i="1"/>
  <c r="EU126" i="1"/>
  <c r="EU124" i="1"/>
  <c r="EU108" i="1"/>
  <c r="EU110" i="1"/>
  <c r="EX108" i="1"/>
  <c r="EW108" i="1"/>
  <c r="EV108" i="1"/>
  <c r="EU16" i="1"/>
  <c r="EV16" i="1"/>
  <c r="A154" i="1" l="1"/>
  <c r="A158" i="1"/>
  <c r="A162" i="1"/>
  <c r="A166" i="1"/>
  <c r="R21" i="1" l="1"/>
  <c r="T21" i="1"/>
  <c r="AW21" i="1"/>
  <c r="EX64" i="1"/>
  <c r="EQ21" i="1" l="1"/>
  <c r="ES21" i="1"/>
  <c r="ER21" i="1"/>
  <c r="ES65" i="1"/>
  <c r="ER65" i="1"/>
  <c r="EQ65" i="1"/>
  <c r="ET21" i="1" l="1"/>
  <c r="EW21" i="1" s="1"/>
  <c r="ET65" i="1"/>
  <c r="EW65" i="1" s="1"/>
  <c r="EX65" i="1" s="1"/>
  <c r="EV124" i="1"/>
  <c r="EW124" i="1" s="1"/>
  <c r="EX124" i="1" s="1"/>
  <c r="EV126" i="1"/>
  <c r="EW126" i="1" s="1"/>
  <c r="EX126" i="1" s="1"/>
  <c r="EK30" i="1"/>
  <c r="EL30" i="1" s="1"/>
  <c r="EH30" i="1"/>
  <c r="EI30" i="1" s="1"/>
  <c r="AH33" i="1"/>
  <c r="AF33" i="1"/>
  <c r="EX21" i="1" l="1"/>
  <c r="EU21" i="1"/>
  <c r="EV21" i="1" s="1"/>
  <c r="EU65" i="1"/>
  <c r="EV65" i="1" s="1"/>
  <c r="EV171" i="1"/>
  <c r="EW171" i="1" s="1"/>
  <c r="EX171" i="1" s="1"/>
  <c r="ES30" i="1"/>
  <c r="EV142" i="1"/>
  <c r="EW142" i="1" s="1"/>
  <c r="EX142" i="1" s="1"/>
  <c r="EV140" i="1"/>
  <c r="EW140" i="1" s="1"/>
  <c r="EX140" i="1" s="1"/>
  <c r="EV138" i="1"/>
  <c r="EW138" i="1" s="1"/>
  <c r="EX138" i="1" s="1"/>
  <c r="EV136" i="1"/>
  <c r="EW136" i="1" s="1"/>
  <c r="EX136" i="1" s="1"/>
  <c r="EV134" i="1"/>
  <c r="EW134" i="1" s="1"/>
  <c r="EX134" i="1" s="1"/>
  <c r="EV132" i="1"/>
  <c r="EW132" i="1" s="1"/>
  <c r="EX132" i="1" s="1"/>
  <c r="EV130" i="1"/>
  <c r="EW130" i="1" s="1"/>
  <c r="EX130" i="1" s="1"/>
  <c r="EV128" i="1"/>
  <c r="EW128" i="1" s="1"/>
  <c r="EX128" i="1" s="1"/>
  <c r="EQ30" i="1"/>
  <c r="ES33" i="1"/>
  <c r="ER30" i="1"/>
  <c r="ER33" i="1"/>
  <c r="EQ33" i="1"/>
  <c r="AW50" i="1" l="1"/>
  <c r="T50" i="1"/>
  <c r="R50" i="1"/>
  <c r="ES50" i="1" l="1"/>
  <c r="EX12" i="1"/>
  <c r="EQ50" i="1"/>
  <c r="ER50" i="1"/>
  <c r="ET50" i="1" l="1"/>
  <c r="EW50" i="1" s="1"/>
  <c r="EX50" i="1" s="1"/>
  <c r="EU50" i="1" l="1"/>
  <c r="EV50" i="1" s="1"/>
  <c r="ES68" i="1" l="1"/>
  <c r="ER68" i="1"/>
  <c r="EQ68" i="1"/>
  <c r="EX60" i="1"/>
  <c r="ES60" i="1"/>
  <c r="ER60" i="1"/>
  <c r="EQ60" i="1"/>
  <c r="ET60" i="1" l="1"/>
  <c r="A150" i="1"/>
  <c r="A70" i="1"/>
  <c r="A71" i="1" s="1"/>
  <c r="A72" i="1" s="1"/>
  <c r="A73" i="1" s="1"/>
  <c r="A74" i="1" s="1"/>
  <c r="A75" i="1" s="1"/>
  <c r="A76" i="1" s="1"/>
  <c r="A77" i="1" s="1"/>
  <c r="A78" i="1" s="1"/>
  <c r="A79" i="1" s="1"/>
  <c r="A81" i="1" s="1"/>
  <c r="A82" i="1" s="1"/>
  <c r="A83" i="1" s="1"/>
  <c r="A84" i="1" s="1"/>
  <c r="A85" i="1" s="1"/>
  <c r="A86" i="1" s="1"/>
  <c r="EX179" i="1"/>
  <c r="EX175" i="1"/>
  <c r="EX176" i="1"/>
  <c r="EX170" i="1"/>
  <c r="EX172" i="1"/>
  <c r="EX167" i="1"/>
  <c r="EX153" i="1"/>
  <c r="EX123" i="1"/>
  <c r="EX125" i="1"/>
  <c r="EX127" i="1"/>
  <c r="EX129" i="1"/>
  <c r="EX131" i="1"/>
  <c r="EX133" i="1"/>
  <c r="EX135" i="1"/>
  <c r="EX137" i="1"/>
  <c r="EX139" i="1"/>
  <c r="EX141" i="1"/>
  <c r="EX120" i="1"/>
  <c r="EX109" i="1"/>
  <c r="EX107" i="1"/>
  <c r="EX84" i="1"/>
  <c r="EX85" i="1"/>
  <c r="EX77" i="1"/>
  <c r="EX72" i="1"/>
  <c r="EX67" i="1"/>
  <c r="EX39" i="1"/>
  <c r="EX34" i="1"/>
  <c r="EX35" i="1"/>
  <c r="EX15" i="1"/>
  <c r="EX18" i="1"/>
  <c r="A87" i="1" l="1"/>
  <c r="EW8" i="1"/>
  <c r="U26" i="2"/>
  <c r="T26" i="2"/>
  <c r="S26" i="2"/>
  <c r="U25" i="2"/>
  <c r="S25" i="2" s="1"/>
  <c r="T25" i="2"/>
  <c r="U24" i="2"/>
  <c r="S24" i="2" s="1"/>
  <c r="T24" i="2"/>
  <c r="U23" i="2"/>
  <c r="T23" i="2"/>
  <c r="S23" i="2"/>
  <c r="U22" i="2"/>
  <c r="T22" i="2"/>
  <c r="S22" i="2"/>
  <c r="U21" i="2"/>
  <c r="S21" i="2" s="1"/>
  <c r="T21" i="2"/>
  <c r="U20" i="2"/>
  <c r="T20" i="2" s="1"/>
  <c r="S20" i="2"/>
  <c r="U19" i="2"/>
  <c r="T19" i="2"/>
  <c r="S19" i="2"/>
  <c r="U18" i="2"/>
  <c r="T18" i="2" s="1"/>
  <c r="U17" i="2"/>
  <c r="S17" i="2" s="1"/>
  <c r="T17" i="2"/>
  <c r="U16" i="2"/>
  <c r="T16" i="2"/>
  <c r="S16" i="2"/>
  <c r="EU8" i="1" l="1"/>
  <c r="EV8" i="1" s="1"/>
  <c r="S18" i="2"/>
  <c r="ES67" i="1" l="1"/>
  <c r="ER67" i="1"/>
  <c r="EQ67" i="1"/>
  <c r="T55" i="1" l="1"/>
  <c r="R55" i="1"/>
  <c r="N27" i="2"/>
  <c r="M27" i="2"/>
  <c r="L27" i="2"/>
  <c r="K27" i="2"/>
  <c r="J27" i="2"/>
  <c r="I27" i="2"/>
  <c r="H27" i="2"/>
  <c r="G27" i="2"/>
  <c r="V26" i="2"/>
  <c r="V25" i="2"/>
  <c r="V24" i="2"/>
  <c r="V23" i="2"/>
  <c r="V22" i="2"/>
  <c r="V21" i="2"/>
  <c r="V20" i="2"/>
  <c r="V19" i="2"/>
  <c r="V18" i="2"/>
  <c r="V17" i="2"/>
  <c r="V16" i="2"/>
  <c r="Q15" i="2"/>
  <c r="R15" i="2" s="1"/>
  <c r="U15" i="2" s="1"/>
  <c r="S15" i="2" s="1"/>
  <c r="T15" i="2" s="1"/>
  <c r="P15" i="2"/>
  <c r="O15" i="2"/>
  <c r="Q14" i="2"/>
  <c r="R14" i="2" s="1"/>
  <c r="P14" i="2"/>
  <c r="O14" i="2"/>
  <c r="Q13" i="2"/>
  <c r="P13" i="2"/>
  <c r="O13" i="2"/>
  <c r="Q12" i="2"/>
  <c r="P12" i="2"/>
  <c r="O12" i="2"/>
  <c r="Q11" i="2"/>
  <c r="P11" i="2"/>
  <c r="O11" i="2"/>
  <c r="Q10" i="2"/>
  <c r="R10" i="2" s="1"/>
  <c r="U10" i="2" s="1"/>
  <c r="S10" i="2" s="1"/>
  <c r="T10" i="2" s="1"/>
  <c r="P10" i="2"/>
  <c r="O10" i="2"/>
  <c r="Q9" i="2"/>
  <c r="R9" i="2" s="1"/>
  <c r="U9" i="2" s="1"/>
  <c r="S9" i="2" s="1"/>
  <c r="T9" i="2" s="1"/>
  <c r="P9" i="2"/>
  <c r="O9" i="2"/>
  <c r="Q8" i="2"/>
  <c r="P8" i="2"/>
  <c r="O8" i="2"/>
  <c r="Q7" i="2"/>
  <c r="P7" i="2"/>
  <c r="O7" i="2"/>
  <c r="Q6" i="2"/>
  <c r="R6" i="2" s="1"/>
  <c r="U6" i="2" s="1"/>
  <c r="S6" i="2" s="1"/>
  <c r="T6" i="2" s="1"/>
  <c r="P6" i="2"/>
  <c r="O6" i="2"/>
  <c r="Q5" i="2"/>
  <c r="R5" i="2" s="1"/>
  <c r="U5" i="2" s="1"/>
  <c r="P5" i="2"/>
  <c r="O5" i="2"/>
  <c r="R11" i="2" l="1"/>
  <c r="U11" i="2" s="1"/>
  <c r="S11" i="2" s="1"/>
  <c r="T11" i="2" s="1"/>
  <c r="R7" i="2"/>
  <c r="U7" i="2" s="1"/>
  <c r="S7" i="2" s="1"/>
  <c r="T7" i="2" s="1"/>
  <c r="R8" i="2"/>
  <c r="U8" i="2" s="1"/>
  <c r="S8" i="2" s="1"/>
  <c r="T8" i="2" s="1"/>
  <c r="R12" i="2"/>
  <c r="U12" i="2" s="1"/>
  <c r="S12" i="2" s="1"/>
  <c r="T12" i="2" s="1"/>
  <c r="R13" i="2"/>
  <c r="U13" i="2" s="1"/>
  <c r="S13" i="2" s="1"/>
  <c r="T13" i="2" s="1"/>
  <c r="S5" i="2"/>
  <c r="T5" i="2" s="1"/>
  <c r="V5" i="2"/>
  <c r="U14" i="2"/>
  <c r="S14" i="2" s="1"/>
  <c r="T14" i="2" s="1"/>
  <c r="ES55" i="1"/>
  <c r="ER55" i="1"/>
  <c r="EQ55" i="1"/>
  <c r="V13" i="2"/>
  <c r="V9" i="2"/>
  <c r="V15" i="2"/>
  <c r="V6" i="2"/>
  <c r="V7" i="2"/>
  <c r="V10" i="2"/>
  <c r="V11" i="2"/>
  <c r="V8" i="2"/>
  <c r="V12" i="2"/>
  <c r="V14" i="2" l="1"/>
  <c r="V27" i="2" s="1"/>
  <c r="ET55" i="1"/>
  <c r="EW55" i="1" s="1"/>
  <c r="EU55" i="1" s="1"/>
  <c r="EV55" i="1" s="1"/>
  <c r="ES27" i="1"/>
  <c r="ER27" i="1"/>
  <c r="EQ27" i="1"/>
  <c r="EX55" i="1" l="1"/>
  <c r="EW27" i="1"/>
  <c r="EU27" i="1" s="1"/>
  <c r="EV27" i="1" s="1"/>
  <c r="EX27" i="1" l="1"/>
  <c r="EN115" i="1"/>
  <c r="EO115" i="1" s="1"/>
  <c r="EK115" i="1"/>
  <c r="EL115" i="1" s="1"/>
  <c r="EK52" i="1"/>
  <c r="EL52" i="1" s="1"/>
  <c r="EH52" i="1"/>
  <c r="EI52" i="1" s="1"/>
  <c r="ES52" i="1" l="1"/>
  <c r="EQ52" i="1"/>
  <c r="ER52" i="1"/>
  <c r="BT98" i="1" l="1"/>
  <c r="T98" i="1"/>
  <c r="R98" i="1"/>
  <c r="BT97" i="1"/>
  <c r="T97" i="1"/>
  <c r="R97" i="1"/>
  <c r="BT96" i="1"/>
  <c r="T96" i="1"/>
  <c r="R96" i="1"/>
  <c r="BT95" i="1"/>
  <c r="T95" i="1"/>
  <c r="R95" i="1"/>
  <c r="BT94" i="1"/>
  <c r="T94" i="1"/>
  <c r="R94" i="1"/>
  <c r="EQ96" i="1" l="1"/>
  <c r="ES95" i="1"/>
  <c r="ES96" i="1"/>
  <c r="ER96" i="1"/>
  <c r="ER98" i="1"/>
  <c r="ES94" i="1"/>
  <c r="EQ97" i="1"/>
  <c r="EQ98" i="1"/>
  <c r="EQ94" i="1"/>
  <c r="ER94" i="1"/>
  <c r="ER95" i="1"/>
  <c r="EQ95" i="1"/>
  <c r="ES97" i="1"/>
  <c r="ER97" i="1"/>
  <c r="ES98" i="1"/>
  <c r="ET96" i="1" l="1"/>
  <c r="ET95" i="1"/>
  <c r="ET94" i="1"/>
  <c r="ET98" i="1"/>
  <c r="EW98" i="1" s="1"/>
  <c r="EU98" i="1" s="1"/>
  <c r="EV98" i="1" s="1"/>
  <c r="ET97" i="1"/>
  <c r="EW97" i="1" s="1"/>
  <c r="EU97" i="1" s="1"/>
  <c r="EV97" i="1" s="1"/>
  <c r="EW94" i="1" l="1"/>
  <c r="EU94" i="1" s="1"/>
  <c r="EV94" i="1" s="1"/>
  <c r="EW95" i="1"/>
  <c r="EU95" i="1" s="1"/>
  <c r="EV95" i="1" s="1"/>
  <c r="EW96" i="1"/>
  <c r="EU96" i="1" s="1"/>
  <c r="EV96" i="1" s="1"/>
  <c r="EX98" i="1"/>
  <c r="EX97" i="1"/>
  <c r="EX95" i="1" l="1"/>
  <c r="EX96" i="1"/>
  <c r="EX94" i="1"/>
  <c r="ES28" i="1"/>
  <c r="ER28" i="1"/>
  <c r="EQ28" i="1"/>
  <c r="ET28" i="1" l="1"/>
  <c r="EW28" i="1" s="1"/>
  <c r="EU28" i="1" s="1"/>
  <c r="EV28" i="1" s="1"/>
  <c r="EX28" i="1" l="1"/>
  <c r="ES147" i="1" l="1"/>
  <c r="ER147" i="1"/>
  <c r="EQ147" i="1"/>
  <c r="ES74" i="1"/>
  <c r="ER74" i="1"/>
  <c r="EQ74" i="1"/>
  <c r="ET147" i="1" l="1"/>
  <c r="EW147" i="1" s="1"/>
  <c r="EU147" i="1" s="1"/>
  <c r="EV147" i="1" s="1"/>
  <c r="ES159" i="1"/>
  <c r="ER159" i="1"/>
  <c r="EQ159" i="1"/>
  <c r="ES118" i="1"/>
  <c r="ER118" i="1"/>
  <c r="EQ118" i="1"/>
  <c r="ES115" i="1"/>
  <c r="ER115" i="1"/>
  <c r="EQ115" i="1"/>
  <c r="EQ113" i="1"/>
  <c r="ES169" i="1"/>
  <c r="ER169" i="1"/>
  <c r="EQ169" i="1"/>
  <c r="ES168" i="1"/>
  <c r="ER168" i="1"/>
  <c r="EQ168" i="1"/>
  <c r="ES122" i="1"/>
  <c r="ER122" i="1"/>
  <c r="EQ122" i="1"/>
  <c r="ES121" i="1"/>
  <c r="ER121" i="1"/>
  <c r="EQ121" i="1"/>
  <c r="ES105" i="1"/>
  <c r="ER105" i="1"/>
  <c r="EQ105" i="1"/>
  <c r="ES104" i="1"/>
  <c r="ER104" i="1"/>
  <c r="EQ104" i="1"/>
  <c r="ES37" i="1"/>
  <c r="ER37" i="1"/>
  <c r="EQ37" i="1"/>
  <c r="ES54" i="1" l="1"/>
  <c r="ER54" i="1"/>
  <c r="EQ54" i="1"/>
  <c r="ES182" i="1"/>
  <c r="ER182" i="1"/>
  <c r="EQ182" i="1"/>
  <c r="ES87" i="1"/>
  <c r="ER87" i="1"/>
  <c r="EQ87" i="1"/>
  <c r="EQ20" i="1"/>
  <c r="ER20" i="1"/>
  <c r="ES20" i="1"/>
  <c r="ET54" i="1" l="1"/>
  <c r="EW54" i="1" s="1"/>
  <c r="EU54" i="1" s="1"/>
  <c r="EV54" i="1" s="1"/>
  <c r="ET20" i="1"/>
  <c r="EW20" i="1" s="1"/>
  <c r="ET182" i="1"/>
  <c r="EW182" i="1" s="1"/>
  <c r="EU182" i="1" s="1"/>
  <c r="EV182" i="1" s="1"/>
  <c r="ET87" i="1"/>
  <c r="EW87" i="1" s="1"/>
  <c r="EU87" i="1" s="1"/>
  <c r="EV87" i="1" s="1"/>
  <c r="ES113" i="1"/>
  <c r="ER113" i="1"/>
  <c r="ES144" i="1"/>
  <c r="ER144" i="1"/>
  <c r="EQ144" i="1"/>
  <c r="ES59" i="1"/>
  <c r="ER59" i="1"/>
  <c r="EQ59" i="1"/>
  <c r="EU20" i="1" l="1"/>
  <c r="EV20" i="1" s="1"/>
  <c r="EX20" i="1"/>
  <c r="T61" i="1"/>
  <c r="R61" i="1"/>
  <c r="ES61" i="1" l="1"/>
  <c r="EQ61" i="1"/>
  <c r="ER61" i="1"/>
  <c r="CM164" i="1"/>
  <c r="ET61" i="1" l="1"/>
  <c r="EW61" i="1" s="1"/>
  <c r="EU61" i="1" s="1"/>
  <c r="EV61" i="1" s="1"/>
  <c r="ES117" i="1"/>
  <c r="ER117" i="1"/>
  <c r="EQ117" i="1"/>
  <c r="ES116" i="1"/>
  <c r="ER116" i="1"/>
  <c r="EQ116" i="1"/>
  <c r="EX61" i="1" l="1"/>
  <c r="EA22" i="1"/>
  <c r="DY22" i="1"/>
  <c r="EQ22" i="1" l="1"/>
  <c r="ER22" i="1"/>
  <c r="ES22" i="1"/>
  <c r="ES162" i="1" l="1"/>
  <c r="ER162" i="1"/>
  <c r="EQ162" i="1"/>
  <c r="ES161" i="1"/>
  <c r="ER161" i="1"/>
  <c r="EQ161" i="1"/>
  <c r="ES92" i="1"/>
  <c r="ER92" i="1"/>
  <c r="EQ92" i="1"/>
  <c r="ES93" i="1"/>
  <c r="ER93" i="1"/>
  <c r="EQ93" i="1"/>
  <c r="ES91" i="1"/>
  <c r="ER91" i="1"/>
  <c r="EQ91" i="1"/>
  <c r="ET161" i="1" l="1"/>
  <c r="EW161" i="1" l="1"/>
  <c r="EU161" i="1" s="1"/>
  <c r="EV161" i="1" s="1"/>
  <c r="ES15" i="1"/>
  <c r="ER15" i="1"/>
  <c r="EQ15" i="1"/>
  <c r="EQ34" i="1"/>
  <c r="ER34" i="1"/>
  <c r="ES34" i="1"/>
  <c r="ES14" i="1"/>
  <c r="ER14" i="1"/>
  <c r="EQ14" i="1"/>
  <c r="ES158" i="1"/>
  <c r="ER158" i="1"/>
  <c r="EQ158" i="1"/>
  <c r="EX161" i="1" l="1"/>
  <c r="ET34" i="1"/>
  <c r="ET15" i="1"/>
  <c r="ET14" i="1"/>
  <c r="ET37" i="1"/>
  <c r="ET104" i="1"/>
  <c r="EW104" i="1" s="1"/>
  <c r="EU104" i="1" s="1"/>
  <c r="EV104" i="1" s="1"/>
  <c r="ET105" i="1"/>
  <c r="ET169" i="1"/>
  <c r="ET122" i="1"/>
  <c r="EW122" i="1" s="1"/>
  <c r="EU122" i="1" s="1"/>
  <c r="EV122" i="1" s="1"/>
  <c r="ET121" i="1"/>
  <c r="ET158" i="1"/>
  <c r="EV110" i="1" l="1"/>
  <c r="EW110" i="1" s="1"/>
  <c r="EX110" i="1" s="1"/>
  <c r="EW169" i="1"/>
  <c r="EU169" i="1" s="1"/>
  <c r="EV169" i="1" s="1"/>
  <c r="EW105" i="1"/>
  <c r="EU105" i="1" s="1"/>
  <c r="EV105" i="1" s="1"/>
  <c r="EW37" i="1"/>
  <c r="EU37" i="1" s="1"/>
  <c r="EV37" i="1" s="1"/>
  <c r="EW14" i="1"/>
  <c r="EW158" i="1"/>
  <c r="EU158" i="1" s="1"/>
  <c r="EV158" i="1" s="1"/>
  <c r="EW121" i="1"/>
  <c r="EU121" i="1" s="1"/>
  <c r="EV121" i="1" s="1"/>
  <c r="EX122" i="1"/>
  <c r="EX104" i="1"/>
  <c r="EW11" i="1"/>
  <c r="EU11" i="1" s="1"/>
  <c r="EV11" i="1" s="1"/>
  <c r="EU14" i="1" l="1"/>
  <c r="EV14" i="1" s="1"/>
  <c r="EX14" i="1"/>
  <c r="EX105" i="1"/>
  <c r="EX158" i="1"/>
  <c r="EX121" i="1"/>
  <c r="EX37" i="1"/>
  <c r="EX169" i="1"/>
  <c r="ES151" i="1"/>
  <c r="ER151" i="1"/>
  <c r="EQ151" i="1"/>
  <c r="ET151" i="1" l="1"/>
  <c r="EW151" i="1" l="1"/>
  <c r="EU151" i="1" s="1"/>
  <c r="EV151" i="1" s="1"/>
  <c r="EX151" i="1" l="1"/>
  <c r="BO183" i="1"/>
  <c r="BP183" i="1"/>
  <c r="BQ183" i="1"/>
  <c r="BR183" i="1"/>
  <c r="BS183" i="1"/>
  <c r="BT183" i="1"/>
  <c r="BU183" i="1"/>
  <c r="BV183" i="1"/>
  <c r="BW183" i="1"/>
  <c r="BX183" i="1"/>
  <c r="BY183" i="1"/>
  <c r="BZ183" i="1"/>
  <c r="CA183" i="1"/>
  <c r="CB183" i="1"/>
  <c r="CC183" i="1"/>
  <c r="CD183" i="1"/>
  <c r="CE183" i="1"/>
  <c r="CF183" i="1"/>
  <c r="CG183" i="1"/>
  <c r="CH183" i="1"/>
  <c r="CI183" i="1"/>
  <c r="CJ183" i="1"/>
  <c r="CK183" i="1"/>
  <c r="CL183" i="1"/>
  <c r="CN183" i="1"/>
  <c r="CO183" i="1"/>
  <c r="CP183" i="1"/>
  <c r="CR183" i="1"/>
  <c r="CS183" i="1"/>
  <c r="CT183" i="1"/>
  <c r="CU183" i="1"/>
  <c r="CV183" i="1"/>
  <c r="CW183" i="1"/>
  <c r="CX183" i="1"/>
  <c r="CY183" i="1"/>
  <c r="CZ183" i="1"/>
  <c r="DA183" i="1"/>
  <c r="DB183" i="1"/>
  <c r="DN183" i="1"/>
  <c r="DO183" i="1"/>
  <c r="DP183" i="1"/>
  <c r="DH42" i="1"/>
  <c r="AW112" i="1"/>
  <c r="AW89" i="1"/>
  <c r="EQ175" i="1"/>
  <c r="ES175" i="1"/>
  <c r="ER175" i="1"/>
  <c r="ES163" i="1"/>
  <c r="ES178" i="1"/>
  <c r="ER178" i="1"/>
  <c r="EQ178" i="1"/>
  <c r="ES160" i="1"/>
  <c r="ER160" i="1"/>
  <c r="EQ160" i="1"/>
  <c r="ES145" i="1"/>
  <c r="ER145" i="1"/>
  <c r="EQ145" i="1"/>
  <c r="ES143" i="1"/>
  <c r="ER143" i="1"/>
  <c r="EQ143" i="1"/>
  <c r="EQ81" i="1"/>
  <c r="EQ86" i="1"/>
  <c r="EQ99" i="1"/>
  <c r="ES100" i="1"/>
  <c r="ER100" i="1"/>
  <c r="EQ100" i="1"/>
  <c r="ES101" i="1"/>
  <c r="ER101" i="1"/>
  <c r="EQ101" i="1"/>
  <c r="ES99" i="1"/>
  <c r="ER99" i="1"/>
  <c r="ES86" i="1"/>
  <c r="ER86" i="1"/>
  <c r="ES81" i="1"/>
  <c r="ER81" i="1"/>
  <c r="ES79" i="1"/>
  <c r="ER79" i="1"/>
  <c r="EQ79" i="1"/>
  <c r="ES78" i="1"/>
  <c r="ER78" i="1"/>
  <c r="EQ78" i="1"/>
  <c r="ES76" i="1"/>
  <c r="ER76" i="1"/>
  <c r="EQ76" i="1"/>
  <c r="ES71" i="1"/>
  <c r="ER71" i="1"/>
  <c r="EQ71" i="1"/>
  <c r="ES64" i="1"/>
  <c r="ER64" i="1"/>
  <c r="EQ64" i="1"/>
  <c r="ES62" i="1"/>
  <c r="ER62" i="1"/>
  <c r="EQ62" i="1"/>
  <c r="ES53" i="1"/>
  <c r="ER53" i="1"/>
  <c r="EQ53" i="1"/>
  <c r="ES49" i="1"/>
  <c r="ER49" i="1"/>
  <c r="EQ49" i="1"/>
  <c r="ES48" i="1"/>
  <c r="ER48" i="1"/>
  <c r="EQ48" i="1"/>
  <c r="ES44" i="1"/>
  <c r="ER44" i="1"/>
  <c r="EQ44" i="1"/>
  <c r="ES40" i="1"/>
  <c r="ER40" i="1"/>
  <c r="EQ40" i="1"/>
  <c r="ES35" i="1"/>
  <c r="ER35" i="1"/>
  <c r="EQ35" i="1"/>
  <c r="ES31" i="1"/>
  <c r="ER31" i="1"/>
  <c r="EQ31" i="1"/>
  <c r="ES19" i="1"/>
  <c r="ER19" i="1"/>
  <c r="EQ19" i="1"/>
  <c r="EW9" i="1"/>
  <c r="EW10" i="1"/>
  <c r="EX8" i="1"/>
  <c r="EQ63" i="1"/>
  <c r="DI42" i="1" l="1"/>
  <c r="DI183" i="1" s="1"/>
  <c r="DG183" i="1"/>
  <c r="EX9" i="1"/>
  <c r="EV173" i="1"/>
  <c r="EW173" i="1" s="1"/>
  <c r="EX173" i="1" s="1"/>
  <c r="EU9" i="1"/>
  <c r="EV9" i="1" s="1"/>
  <c r="EX10" i="1"/>
  <c r="EU10" i="1"/>
  <c r="EV10" i="1" s="1"/>
  <c r="EX11" i="1"/>
  <c r="DH183" i="1"/>
  <c r="ET100" i="1"/>
  <c r="EW100" i="1" s="1"/>
  <c r="EU100" i="1" s="1"/>
  <c r="EV100" i="1" s="1"/>
  <c r="ET53" i="1"/>
  <c r="ET64" i="1"/>
  <c r="ET74" i="1"/>
  <c r="ET59" i="1"/>
  <c r="ET78" i="1"/>
  <c r="EW78" i="1" s="1"/>
  <c r="EU78" i="1" s="1"/>
  <c r="EV78" i="1" s="1"/>
  <c r="ET71" i="1"/>
  <c r="EW71" i="1" s="1"/>
  <c r="EU71" i="1" s="1"/>
  <c r="EV71" i="1" s="1"/>
  <c r="ET79" i="1"/>
  <c r="EW79" i="1" s="1"/>
  <c r="EU79" i="1" s="1"/>
  <c r="EV79" i="1" s="1"/>
  <c r="ET101" i="1"/>
  <c r="EW101" i="1" s="1"/>
  <c r="EU101" i="1" s="1"/>
  <c r="EV101" i="1" s="1"/>
  <c r="ET160" i="1"/>
  <c r="EW160" i="1" s="1"/>
  <c r="EU160" i="1" s="1"/>
  <c r="EV160" i="1" s="1"/>
  <c r="ET162" i="1"/>
  <c r="EW162" i="1" s="1"/>
  <c r="EU162" i="1" s="1"/>
  <c r="EV162" i="1" s="1"/>
  <c r="ET76" i="1"/>
  <c r="EW76" i="1" s="1"/>
  <c r="EU76" i="1" s="1"/>
  <c r="EV76" i="1" s="1"/>
  <c r="ET178" i="1"/>
  <c r="EW178" i="1" s="1"/>
  <c r="EU178" i="1" s="1"/>
  <c r="EV178" i="1" s="1"/>
  <c r="ET68" i="1"/>
  <c r="ET92" i="1"/>
  <c r="EW92" i="1" s="1"/>
  <c r="EU92" i="1" s="1"/>
  <c r="EV92" i="1" s="1"/>
  <c r="ET168" i="1"/>
  <c r="EQ163" i="1"/>
  <c r="ER163" i="1"/>
  <c r="ET163" i="1" s="1"/>
  <c r="ET159" i="1"/>
  <c r="EW159" i="1" s="1"/>
  <c r="EU159" i="1" s="1"/>
  <c r="EV159" i="1" s="1"/>
  <c r="ET145" i="1"/>
  <c r="EW145" i="1" s="1"/>
  <c r="EU145" i="1" s="1"/>
  <c r="EV145" i="1" s="1"/>
  <c r="ET144" i="1"/>
  <c r="EW144" i="1" s="1"/>
  <c r="EU144" i="1" s="1"/>
  <c r="EV144" i="1" s="1"/>
  <c r="ET143" i="1"/>
  <c r="EW143" i="1" s="1"/>
  <c r="EU143" i="1" s="1"/>
  <c r="EV143" i="1" s="1"/>
  <c r="ET81" i="1"/>
  <c r="EW81" i="1" s="1"/>
  <c r="EU81" i="1" s="1"/>
  <c r="EV81" i="1" s="1"/>
  <c r="ET49" i="1"/>
  <c r="ET48" i="1"/>
  <c r="EW163" i="1" l="1"/>
  <c r="EU163" i="1" s="1"/>
  <c r="EV163" i="1" s="1"/>
  <c r="EW74" i="1"/>
  <c r="EU74" i="1" s="1"/>
  <c r="EV74" i="1" s="1"/>
  <c r="EW53" i="1"/>
  <c r="EU53" i="1" s="1"/>
  <c r="EV53" i="1" s="1"/>
  <c r="EW68" i="1"/>
  <c r="EU68" i="1" s="1"/>
  <c r="EV68" i="1" s="1"/>
  <c r="EW48" i="1"/>
  <c r="EU48" i="1" s="1"/>
  <c r="EV48" i="1" s="1"/>
  <c r="EW49" i="1"/>
  <c r="EU49" i="1" s="1"/>
  <c r="EV49" i="1" s="1"/>
  <c r="EW168" i="1"/>
  <c r="EU168" i="1" s="1"/>
  <c r="EV168" i="1" s="1"/>
  <c r="EW59" i="1"/>
  <c r="EU59" i="1" s="1"/>
  <c r="EV59" i="1" s="1"/>
  <c r="EX160" i="1"/>
  <c r="EX79" i="1"/>
  <c r="EX143" i="1"/>
  <c r="EX71" i="1"/>
  <c r="EX145" i="1"/>
  <c r="EX78" i="1"/>
  <c r="EX178" i="1"/>
  <c r="EX147" i="1"/>
  <c r="EX162" i="1"/>
  <c r="EX81" i="1"/>
  <c r="EX144" i="1"/>
  <c r="ES57" i="1"/>
  <c r="ER57" i="1"/>
  <c r="EQ57" i="1"/>
  <c r="DM45" i="1"/>
  <c r="DM183" i="1" s="1"/>
  <c r="DK45" i="1"/>
  <c r="DL43" i="1"/>
  <c r="DL183" i="1" s="1"/>
  <c r="DK43" i="1"/>
  <c r="DJ42" i="1"/>
  <c r="DJ183" i="1" s="1"/>
  <c r="EX163" i="1" l="1"/>
  <c r="EX168" i="1"/>
  <c r="EX68" i="1"/>
  <c r="EX53" i="1"/>
  <c r="EX49" i="1"/>
  <c r="EX48" i="1"/>
  <c r="EX59" i="1"/>
  <c r="EX74" i="1"/>
  <c r="EX159" i="1"/>
  <c r="ES45" i="1"/>
  <c r="ES43" i="1"/>
  <c r="DK183" i="1"/>
  <c r="EQ42" i="1"/>
  <c r="ER42" i="1"/>
  <c r="EQ43" i="1"/>
  <c r="ES42" i="1"/>
  <c r="ER43" i="1"/>
  <c r="EQ45" i="1"/>
  <c r="ER45" i="1"/>
  <c r="DF183" i="1" l="1"/>
  <c r="DE183" i="1"/>
  <c r="DD183" i="1"/>
  <c r="ES23" i="1"/>
  <c r="ER23" i="1"/>
  <c r="EQ23" i="1"/>
  <c r="DC183" i="1" l="1"/>
  <c r="K183" i="1"/>
  <c r="P183" i="1"/>
  <c r="Q183" i="1"/>
  <c r="S183" i="1"/>
  <c r="U183" i="1"/>
  <c r="V183" i="1"/>
  <c r="W183" i="1"/>
  <c r="X183" i="1"/>
  <c r="Y183" i="1"/>
  <c r="Z183" i="1"/>
  <c r="AA183" i="1"/>
  <c r="AB183" i="1"/>
  <c r="AC183" i="1"/>
  <c r="AD183" i="1"/>
  <c r="AE183" i="1"/>
  <c r="AF183" i="1"/>
  <c r="AG183" i="1"/>
  <c r="AH183" i="1"/>
  <c r="AI183" i="1"/>
  <c r="AJ183" i="1"/>
  <c r="AK183" i="1"/>
  <c r="AL183" i="1"/>
  <c r="AM183" i="1"/>
  <c r="AN183" i="1"/>
  <c r="AO183" i="1"/>
  <c r="AP183" i="1"/>
  <c r="AQ183" i="1"/>
  <c r="AR183" i="1"/>
  <c r="AS183" i="1"/>
  <c r="AT183" i="1"/>
  <c r="AU183" i="1"/>
  <c r="AV183" i="1"/>
  <c r="AW183" i="1"/>
  <c r="AX183" i="1"/>
  <c r="AY183" i="1"/>
  <c r="AZ183" i="1"/>
  <c r="BB183" i="1"/>
  <c r="BC183" i="1"/>
  <c r="BD183" i="1"/>
  <c r="BE183" i="1"/>
  <c r="BF183" i="1"/>
  <c r="BG183" i="1"/>
  <c r="BH183" i="1"/>
  <c r="BI183" i="1"/>
  <c r="BJ183" i="1"/>
  <c r="BK183" i="1"/>
  <c r="BL183" i="1"/>
  <c r="BM183" i="1"/>
  <c r="BN183" i="1"/>
  <c r="ES181" i="1"/>
  <c r="ER181" i="1"/>
  <c r="EQ181" i="1"/>
  <c r="T180" i="1"/>
  <c r="R180" i="1"/>
  <c r="ES166" i="1"/>
  <c r="ER166" i="1"/>
  <c r="EQ166" i="1"/>
  <c r="ES165" i="1"/>
  <c r="ER165" i="1"/>
  <c r="EQ165" i="1"/>
  <c r="EQ102" i="1"/>
  <c r="R119" i="1"/>
  <c r="R83" i="1"/>
  <c r="R73" i="1"/>
  <c r="R38" i="1"/>
  <c r="R17" i="1"/>
  <c r="CQ183" i="1"/>
  <c r="EQ149" i="1"/>
  <c r="ER149" i="1"/>
  <c r="ES149" i="1"/>
  <c r="EQ150" i="1"/>
  <c r="ER150" i="1"/>
  <c r="ES150" i="1"/>
  <c r="CM183" i="1" l="1"/>
  <c r="ER180" i="1"/>
  <c r="EQ180" i="1"/>
  <c r="ES180" i="1"/>
  <c r="ET149" i="1"/>
  <c r="EW149" i="1" s="1"/>
  <c r="EU149" i="1" s="1"/>
  <c r="EV149" i="1" s="1"/>
  <c r="ET150" i="1"/>
  <c r="EW150" i="1" s="1"/>
  <c r="EU150" i="1" s="1"/>
  <c r="EV150" i="1" s="1"/>
  <c r="ES148" i="1"/>
  <c r="ER148" i="1"/>
  <c r="EQ148" i="1"/>
  <c r="ES157" i="1"/>
  <c r="ER157" i="1"/>
  <c r="EQ157" i="1"/>
  <c r="ES156" i="1"/>
  <c r="ER156" i="1"/>
  <c r="EQ156" i="1"/>
  <c r="ES177" i="1"/>
  <c r="ER177" i="1"/>
  <c r="EQ177" i="1"/>
  <c r="ES155" i="1"/>
  <c r="ER155" i="1"/>
  <c r="EQ155" i="1"/>
  <c r="ES154" i="1"/>
  <c r="ER154" i="1"/>
  <c r="EQ154" i="1"/>
  <c r="ES179" i="1"/>
  <c r="ER179" i="1"/>
  <c r="EQ179" i="1"/>
  <c r="ES153" i="1"/>
  <c r="ER153" i="1"/>
  <c r="EQ153" i="1"/>
  <c r="ES152" i="1"/>
  <c r="ER152" i="1"/>
  <c r="EQ152" i="1"/>
  <c r="T164" i="1"/>
  <c r="R164" i="1"/>
  <c r="ES120" i="1"/>
  <c r="ER120" i="1"/>
  <c r="EQ120" i="1"/>
  <c r="T119" i="1"/>
  <c r="ES119" i="1" s="1"/>
  <c r="ES114" i="1"/>
  <c r="ER114" i="1"/>
  <c r="EQ114" i="1"/>
  <c r="T112" i="1"/>
  <c r="R112" i="1"/>
  <c r="BA106" i="1"/>
  <c r="ES106" i="1" s="1"/>
  <c r="ES103" i="1"/>
  <c r="ER103" i="1"/>
  <c r="EQ103" i="1"/>
  <c r="ES102" i="1"/>
  <c r="ER102" i="1"/>
  <c r="T89" i="1"/>
  <c r="R89" i="1"/>
  <c r="ES164" i="1" l="1"/>
  <c r="EQ164" i="1"/>
  <c r="ER164" i="1"/>
  <c r="ES89" i="1"/>
  <c r="ER89" i="1"/>
  <c r="EQ89" i="1"/>
  <c r="ES112" i="1"/>
  <c r="ER112" i="1"/>
  <c r="EQ112" i="1"/>
  <c r="ET180" i="1"/>
  <c r="EW180" i="1" s="1"/>
  <c r="EU180" i="1" s="1"/>
  <c r="EV180" i="1" s="1"/>
  <c r="ER119" i="1"/>
  <c r="ET119" i="1" s="1"/>
  <c r="EW119" i="1" s="1"/>
  <c r="EQ119" i="1"/>
  <c r="ET177" i="1"/>
  <c r="EW177" i="1" s="1"/>
  <c r="EU177" i="1" s="1"/>
  <c r="EV177" i="1" s="1"/>
  <c r="ET155" i="1"/>
  <c r="EW155" i="1" s="1"/>
  <c r="EU155" i="1" s="1"/>
  <c r="EV155" i="1" s="1"/>
  <c r="ET154" i="1"/>
  <c r="ET179" i="1"/>
  <c r="ET153" i="1"/>
  <c r="ET116" i="1"/>
  <c r="EW116" i="1" s="1"/>
  <c r="EU116" i="1" s="1"/>
  <c r="EV116" i="1" s="1"/>
  <c r="ET117" i="1"/>
  <c r="EW117" i="1" s="1"/>
  <c r="EU117" i="1" s="1"/>
  <c r="EV117" i="1" s="1"/>
  <c r="ET115" i="1"/>
  <c r="ET118" i="1"/>
  <c r="EW118" i="1" s="1"/>
  <c r="EU118" i="1" s="1"/>
  <c r="EV118" i="1" s="1"/>
  <c r="ET120" i="1"/>
  <c r="EQ106" i="1"/>
  <c r="ET103" i="1"/>
  <c r="ER106" i="1"/>
  <c r="ET106" i="1" s="1"/>
  <c r="EX119" i="1" l="1"/>
  <c r="EU119" i="1"/>
  <c r="EV119" i="1" s="1"/>
  <c r="EW106" i="1"/>
  <c r="EU106" i="1" s="1"/>
  <c r="EV106" i="1" s="1"/>
  <c r="EW115" i="1"/>
  <c r="EU115" i="1" s="1"/>
  <c r="EV115" i="1" s="1"/>
  <c r="EW103" i="1"/>
  <c r="EU103" i="1" s="1"/>
  <c r="EV103" i="1" s="1"/>
  <c r="EW154" i="1"/>
  <c r="EU154" i="1" s="1"/>
  <c r="EV154" i="1" s="1"/>
  <c r="EX180" i="1"/>
  <c r="EX155" i="1"/>
  <c r="EX177" i="1"/>
  <c r="EX54" i="1"/>
  <c r="EX182" i="1"/>
  <c r="EX87" i="1"/>
  <c r="ET164" i="1"/>
  <c r="EW164" i="1" s="1"/>
  <c r="EU164" i="1" s="1"/>
  <c r="EV164" i="1" s="1"/>
  <c r="ET112" i="1"/>
  <c r="EW112" i="1" l="1"/>
  <c r="EU112" i="1" s="1"/>
  <c r="EV112" i="1" s="1"/>
  <c r="EX154" i="1"/>
  <c r="EX103" i="1"/>
  <c r="EX115" i="1"/>
  <c r="EX106" i="1"/>
  <c r="ES85" i="1"/>
  <c r="ER85" i="1"/>
  <c r="EQ85" i="1"/>
  <c r="ES84" i="1"/>
  <c r="ER84" i="1"/>
  <c r="EQ84" i="1"/>
  <c r="T83" i="1"/>
  <c r="T82" i="1"/>
  <c r="R82" i="1"/>
  <c r="EX112" i="1" l="1"/>
  <c r="ES83" i="1"/>
  <c r="EQ83" i="1"/>
  <c r="ER83" i="1"/>
  <c r="ET85" i="1"/>
  <c r="ET84" i="1"/>
  <c r="ES82" i="1"/>
  <c r="EQ82" i="1"/>
  <c r="ER82" i="1"/>
  <c r="ET83" i="1" l="1"/>
  <c r="EW83" i="1" s="1"/>
  <c r="EU83" i="1" s="1"/>
  <c r="EV83" i="1" s="1"/>
  <c r="ET82" i="1"/>
  <c r="EW82" i="1" s="1"/>
  <c r="EU82" i="1" s="1"/>
  <c r="EV82" i="1" s="1"/>
  <c r="EX82" i="1" l="1"/>
  <c r="EX83" i="1" l="1"/>
  <c r="T73" i="1"/>
  <c r="T38" i="1"/>
  <c r="T17" i="1"/>
  <c r="T16" i="1"/>
  <c r="R16" i="1"/>
  <c r="ES77" i="1"/>
  <c r="ER77" i="1"/>
  <c r="EQ77" i="1"/>
  <c r="ES75" i="1"/>
  <c r="ER75" i="1"/>
  <c r="EQ75" i="1"/>
  <c r="ES72" i="1"/>
  <c r="ER72" i="1"/>
  <c r="EQ72" i="1"/>
  <c r="ES70" i="1"/>
  <c r="ER70" i="1"/>
  <c r="EQ70" i="1"/>
  <c r="ES66" i="1"/>
  <c r="ER66" i="1"/>
  <c r="EQ66" i="1"/>
  <c r="ES63" i="1"/>
  <c r="ER63" i="1"/>
  <c r="ES26" i="1"/>
  <c r="ER26" i="1"/>
  <c r="EQ26" i="1"/>
  <c r="ES58" i="1"/>
  <c r="ER58" i="1"/>
  <c r="EQ58" i="1"/>
  <c r="BA56" i="1"/>
  <c r="EQ56" i="1" s="1"/>
  <c r="BA36" i="1"/>
  <c r="ES51" i="1"/>
  <c r="ER51" i="1"/>
  <c r="EQ51" i="1"/>
  <c r="ES47" i="1"/>
  <c r="ER47" i="1"/>
  <c r="EQ47" i="1"/>
  <c r="ES46" i="1"/>
  <c r="ER46" i="1"/>
  <c r="EQ46" i="1"/>
  <c r="ES32" i="1"/>
  <c r="ER32" i="1"/>
  <c r="EQ32" i="1"/>
  <c r="ES56" i="1" l="1"/>
  <c r="ER56" i="1"/>
  <c r="R183" i="1"/>
  <c r="T183" i="1"/>
  <c r="ES36" i="1"/>
  <c r="BA183" i="1"/>
  <c r="EQ17" i="1"/>
  <c r="ES17" i="1"/>
  <c r="ER17" i="1"/>
  <c r="ES38" i="1"/>
  <c r="EQ38" i="1"/>
  <c r="ER38" i="1"/>
  <c r="ES73" i="1"/>
  <c r="ER73" i="1"/>
  <c r="EQ73" i="1"/>
  <c r="EQ16" i="1"/>
  <c r="ER16" i="1"/>
  <c r="ES16" i="1"/>
  <c r="ET26" i="1"/>
  <c r="ER36" i="1"/>
  <c r="EQ36" i="1"/>
  <c r="ES29" i="1"/>
  <c r="ER29" i="1"/>
  <c r="EQ29" i="1"/>
  <c r="EW26" i="1" l="1"/>
  <c r="EU26" i="1" s="1"/>
  <c r="EV26" i="1" s="1"/>
  <c r="ET73" i="1"/>
  <c r="EW73" i="1" s="1"/>
  <c r="EU73" i="1" s="1"/>
  <c r="EV73" i="1" s="1"/>
  <c r="ES25" i="1"/>
  <c r="ER25" i="1"/>
  <c r="EQ25" i="1"/>
  <c r="ET29" i="1"/>
  <c r="ET32" i="1"/>
  <c r="EW32" i="1" l="1"/>
  <c r="EU32" i="1" s="1"/>
  <c r="EV32" i="1" s="1"/>
  <c r="EW29" i="1"/>
  <c r="EU29" i="1" s="1"/>
  <c r="EV29" i="1" s="1"/>
  <c r="EX26" i="1"/>
  <c r="ET33" i="1"/>
  <c r="ET86" i="1"/>
  <c r="EW86" i="1" s="1"/>
  <c r="EU86" i="1" s="1"/>
  <c r="EV86" i="1" s="1"/>
  <c r="ET62" i="1"/>
  <c r="ET113" i="1"/>
  <c r="EW113" i="1" s="1"/>
  <c r="EU113" i="1" s="1"/>
  <c r="EV113" i="1" s="1"/>
  <c r="ET31" i="1"/>
  <c r="ET166" i="1"/>
  <c r="EX118" i="1"/>
  <c r="ET51" i="1"/>
  <c r="ET25" i="1"/>
  <c r="ET63" i="1"/>
  <c r="ET89" i="1"/>
  <c r="EW89" i="1" s="1"/>
  <c r="EU89" i="1" s="1"/>
  <c r="EV89" i="1" s="1"/>
  <c r="ET42" i="1"/>
  <c r="ET152" i="1"/>
  <c r="EW152" i="1" s="1"/>
  <c r="EU152" i="1" s="1"/>
  <c r="EV152" i="1" s="1"/>
  <c r="ET148" i="1"/>
  <c r="EX100" i="1"/>
  <c r="ET70" i="1"/>
  <c r="EW70" i="1" s="1"/>
  <c r="EU70" i="1" s="1"/>
  <c r="EV70" i="1" s="1"/>
  <c r="ET35" i="1"/>
  <c r="ET91" i="1"/>
  <c r="EW91" i="1" s="1"/>
  <c r="EU91" i="1" s="1"/>
  <c r="EV91" i="1" s="1"/>
  <c r="ET47" i="1"/>
  <c r="EX116" i="1"/>
  <c r="EX101" i="1"/>
  <c r="ET93" i="1"/>
  <c r="ET66" i="1"/>
  <c r="ET57" i="1"/>
  <c r="EX149" i="1"/>
  <c r="ET44" i="1"/>
  <c r="ET175" i="1"/>
  <c r="ET114" i="1"/>
  <c r="EW114" i="1" s="1"/>
  <c r="EU114" i="1" s="1"/>
  <c r="EV114" i="1" s="1"/>
  <c r="ET77" i="1"/>
  <c r="ET157" i="1"/>
  <c r="ET72" i="1"/>
  <c r="ET56" i="1"/>
  <c r="ET36" i="1"/>
  <c r="ET181" i="1"/>
  <c r="EW181" i="1" s="1"/>
  <c r="EU181" i="1" s="1"/>
  <c r="EV181" i="1" s="1"/>
  <c r="ET99" i="1"/>
  <c r="EW99" i="1" s="1"/>
  <c r="EU99" i="1" s="1"/>
  <c r="EV99" i="1" s="1"/>
  <c r="ET75" i="1"/>
  <c r="ET22" i="1"/>
  <c r="EW22" i="1" s="1"/>
  <c r="ET19" i="1"/>
  <c r="ET58" i="1"/>
  <c r="ET43" i="1"/>
  <c r="ET40" i="1"/>
  <c r="ET23" i="1"/>
  <c r="ET52" i="1"/>
  <c r="EX150" i="1"/>
  <c r="EX76" i="1"/>
  <c r="ET156" i="1"/>
  <c r="EW156" i="1" s="1"/>
  <c r="EU156" i="1" s="1"/>
  <c r="EV156" i="1" s="1"/>
  <c r="ET38" i="1"/>
  <c r="EW38" i="1" s="1"/>
  <c r="EU38" i="1" s="1"/>
  <c r="EV38" i="1" s="1"/>
  <c r="EX164" i="1"/>
  <c r="ET17" i="1"/>
  <c r="EW17" i="1" s="1"/>
  <c r="EU17" i="1" s="1"/>
  <c r="EV17" i="1" s="1"/>
  <c r="ET45" i="1"/>
  <c r="ET16" i="1"/>
  <c r="EW16" i="1" s="1"/>
  <c r="EX117" i="1"/>
  <c r="ET102" i="1"/>
  <c r="EW102" i="1" s="1"/>
  <c r="EU102" i="1" s="1"/>
  <c r="EV102" i="1" s="1"/>
  <c r="ET165" i="1"/>
  <c r="EX92" i="1"/>
  <c r="ET46" i="1"/>
  <c r="ET30" i="1"/>
  <c r="H183" i="1"/>
  <c r="I183" i="1"/>
  <c r="J183" i="1"/>
  <c r="G183" i="1"/>
  <c r="EX16" i="1" l="1"/>
  <c r="EU22" i="1"/>
  <c r="EV22" i="1" s="1"/>
  <c r="EX22" i="1"/>
  <c r="EX17" i="1"/>
  <c r="EW31" i="1"/>
  <c r="EU31" i="1" s="1"/>
  <c r="EV31" i="1" s="1"/>
  <c r="EW42" i="1"/>
  <c r="EU42" i="1" s="1"/>
  <c r="EV42" i="1" s="1"/>
  <c r="EW33" i="1"/>
  <c r="EU33" i="1" s="1"/>
  <c r="EV33" i="1" s="1"/>
  <c r="EW36" i="1"/>
  <c r="EU36" i="1" s="1"/>
  <c r="EV36" i="1" s="1"/>
  <c r="EW93" i="1"/>
  <c r="EU93" i="1" s="1"/>
  <c r="EV93" i="1" s="1"/>
  <c r="EW165" i="1"/>
  <c r="EU165" i="1" s="1"/>
  <c r="EV165" i="1" s="1"/>
  <c r="EW56" i="1"/>
  <c r="EU56" i="1" s="1"/>
  <c r="EV56" i="1" s="1"/>
  <c r="EW19" i="1"/>
  <c r="EW44" i="1"/>
  <c r="EU44" i="1" s="1"/>
  <c r="EV44" i="1" s="1"/>
  <c r="EW63" i="1"/>
  <c r="EU63" i="1" s="1"/>
  <c r="EV63" i="1" s="1"/>
  <c r="EW58" i="1"/>
  <c r="EU58" i="1" s="1"/>
  <c r="EV58" i="1" s="1"/>
  <c r="EW57" i="1"/>
  <c r="EU57" i="1" s="1"/>
  <c r="EV57" i="1" s="1"/>
  <c r="EW62" i="1"/>
  <c r="EU62" i="1" s="1"/>
  <c r="EV62" i="1" s="1"/>
  <c r="EW25" i="1"/>
  <c r="EU25" i="1" s="1"/>
  <c r="EV25" i="1" s="1"/>
  <c r="EX29" i="1"/>
  <c r="EW166" i="1"/>
  <c r="EU166" i="1" s="1"/>
  <c r="EV166" i="1" s="1"/>
  <c r="EW75" i="1"/>
  <c r="EU75" i="1" s="1"/>
  <c r="EV75" i="1" s="1"/>
  <c r="EW30" i="1"/>
  <c r="EU30" i="1" s="1"/>
  <c r="EV30" i="1" s="1"/>
  <c r="EW148" i="1"/>
  <c r="EU148" i="1" s="1"/>
  <c r="EV148" i="1" s="1"/>
  <c r="EW46" i="1"/>
  <c r="EU46" i="1" s="1"/>
  <c r="EV46" i="1" s="1"/>
  <c r="EW66" i="1"/>
  <c r="EU66" i="1" s="1"/>
  <c r="EV66" i="1" s="1"/>
  <c r="EW40" i="1"/>
  <c r="EU40" i="1" s="1"/>
  <c r="EV40" i="1" s="1"/>
  <c r="EW47" i="1"/>
  <c r="EU47" i="1" s="1"/>
  <c r="EV47" i="1" s="1"/>
  <c r="EW51" i="1"/>
  <c r="EU51" i="1" s="1"/>
  <c r="EV51" i="1" s="1"/>
  <c r="EW52" i="1"/>
  <c r="EU52" i="1" s="1"/>
  <c r="EV52" i="1" s="1"/>
  <c r="EW23" i="1"/>
  <c r="EW157" i="1"/>
  <c r="EU157" i="1" s="1"/>
  <c r="EV157" i="1" s="1"/>
  <c r="EW45" i="1"/>
  <c r="EU45" i="1" s="1"/>
  <c r="EV45" i="1" s="1"/>
  <c r="EW43" i="1"/>
  <c r="EU43" i="1" s="1"/>
  <c r="EV43" i="1" s="1"/>
  <c r="EX32" i="1"/>
  <c r="EX38" i="1"/>
  <c r="EX73" i="1"/>
  <c r="EX114" i="1"/>
  <c r="EX89" i="1"/>
  <c r="EX156" i="1"/>
  <c r="EX152" i="1"/>
  <c r="EX113" i="1"/>
  <c r="EX91" i="1"/>
  <c r="EX102" i="1"/>
  <c r="EX99" i="1"/>
  <c r="EX86" i="1"/>
  <c r="EX181" i="1"/>
  <c r="EX70" i="1"/>
  <c r="EW183" i="1" l="1"/>
  <c r="EU19" i="1"/>
  <c r="EV19" i="1" s="1"/>
  <c r="EX19" i="1"/>
  <c r="EU23" i="1"/>
  <c r="EV23" i="1" s="1"/>
  <c r="EX23" i="1"/>
  <c r="EX46" i="1"/>
  <c r="EX148" i="1"/>
  <c r="EX51" i="1"/>
  <c r="EX30" i="1"/>
  <c r="EX45" i="1"/>
  <c r="EX57" i="1"/>
  <c r="EX75" i="1"/>
  <c r="EX93" i="1"/>
  <c r="EX157" i="1"/>
  <c r="EX25" i="1"/>
  <c r="EX44" i="1"/>
  <c r="EX33" i="1"/>
  <c r="EX66" i="1"/>
  <c r="EX165" i="1"/>
  <c r="EX40" i="1"/>
  <c r="EX42" i="1"/>
  <c r="EX47" i="1"/>
  <c r="EX58" i="1"/>
  <c r="EX166" i="1"/>
  <c r="EX36" i="1"/>
  <c r="EX52" i="1"/>
  <c r="EX43" i="1"/>
  <c r="EX63" i="1"/>
  <c r="EX62" i="1"/>
  <c r="EX56" i="1"/>
  <c r="EX31" i="1"/>
  <c r="EX183" i="1" l="1"/>
</calcChain>
</file>

<file path=xl/sharedStrings.xml><?xml version="1.0" encoding="utf-8"?>
<sst xmlns="http://schemas.openxmlformats.org/spreadsheetml/2006/main" count="1053" uniqueCount="430">
  <si>
    <t xml:space="preserve">ALCALDIA LOCAL DE CIUDAD BOLIVAR </t>
  </si>
  <si>
    <t>ITEM</t>
  </si>
  <si>
    <t>ELEMENTO Y/O PRODUCTO</t>
  </si>
  <si>
    <t>DESCRIPCIÓN / ESPECIFICACIÓN TÉCNICA</t>
  </si>
  <si>
    <t>UNIDAD DE MEDIDA</t>
  </si>
  <si>
    <t xml:space="preserve">CANTIDAD </t>
  </si>
  <si>
    <t>TIEMPO</t>
  </si>
  <si>
    <t xml:space="preserve">RECURSO HUMANO TRANSVERSAL </t>
  </si>
  <si>
    <t xml:space="preserve">Mes </t>
  </si>
  <si>
    <t xml:space="preserve">BOLSA </t>
  </si>
  <si>
    <t xml:space="preserve">TOTAL </t>
  </si>
  <si>
    <t>Objeto: “PRESTAR LOS SERVICIOS PARA EJECUTAR LAS ACTIVIDADES DE LOS EVENTOS RECREATIVOS Y DEPORTIVOS, EN EL MARCO DEL PROYECTO 2249 “CIUDAD BOLÍVAR, “CIUDAD BOLÍVAR CAMINA SEGURA Y CON BIENESTAR A TRAVÉS DE LA PRACTICA Y FORMACIÓN EN EL DEPORTE, LA RECREACIÓN Y LA ACTIVIDAD FÍSICA”, DEL PLAN DE DESARROLLO LOCAL 2025 - 2028".</t>
  </si>
  <si>
    <t>INSTRUCTORES</t>
  </si>
  <si>
    <t>PROFESIONAL DE APOYO</t>
  </si>
  <si>
    <t>Cabina de sonido</t>
  </si>
  <si>
    <t>Póliza de seguro de accidentes personales que ampare a los partici-pantes, monitores y personal de apoyo durante el desarrollo de las actividades. Coberturas mínimas: muerte accidental, invalidez o desmembración, gastos médicos y gastos funerarios, conforme a los montos establecidos en el componente.</t>
  </si>
  <si>
    <t>Servicio / día</t>
  </si>
  <si>
    <t>Unidad</t>
  </si>
  <si>
    <t xml:space="preserve">COMPONENTE 2: PRIMER FESTIVAL DRAFE POR LA PAZ, AMISTAD Y CONVIVENCIA. </t>
  </si>
  <si>
    <t>Tarima / escenario principal</t>
  </si>
  <si>
    <t>Baños portátiles</t>
  </si>
  <si>
    <t>Presentaciones musicales</t>
  </si>
  <si>
    <t>Medallas de participación</t>
  </si>
  <si>
    <t>Parqués gigante</t>
  </si>
  <si>
    <t>Servicio</t>
  </si>
  <si>
    <t>Palos de balso largos</t>
  </si>
  <si>
    <t>Pliegos de papel celofán</t>
  </si>
  <si>
    <t>Piola</t>
  </si>
  <si>
    <t>Rollo</t>
  </si>
  <si>
    <t>Pegante</t>
  </si>
  <si>
    <t>Tijeras</t>
  </si>
  <si>
    <t>Alfiler</t>
  </si>
  <si>
    <t>Caja</t>
  </si>
  <si>
    <t>Pinceles (set)</t>
  </si>
  <si>
    <t>Set</t>
  </si>
  <si>
    <t>Botilitos</t>
  </si>
  <si>
    <t>Canguro</t>
  </si>
  <si>
    <t>Animador recreodeportivo</t>
  </si>
  <si>
    <t>Juego</t>
  </si>
  <si>
    <t>Kit</t>
  </si>
  <si>
    <t>Punto de hidratación</t>
  </si>
  <si>
    <t>COMPONENTE 4:  BICI RECORRIDOS CATEGORÍA RECREATIVA Y AFICIONADA</t>
  </si>
  <si>
    <t>Escolta motorizado</t>
  </si>
  <si>
    <t>Dos (2) escoltas motorizados por recorrido, motocicleta &gt;125 c.c., licencia A2, SOAT y técnico‑mecánicas vigentes. Control y acompañamiento vial durante toda la ruta.</t>
  </si>
  <si>
    <t>Hidratación tipo 1</t>
  </si>
  <si>
    <t>Kit ciclismo</t>
  </si>
  <si>
    <t>Servicio / recorrido</t>
  </si>
  <si>
    <t>Ambulancia medicalizada</t>
  </si>
  <si>
    <t>Apoyo mecánico básico (adicional)</t>
  </si>
  <si>
    <t>Señalización y control de ruta (adicional)</t>
  </si>
  <si>
    <t>Kit / recorrido</t>
  </si>
  <si>
    <t>COMPONENTE 5:  COMPONENTE: SALIDA RECREATIVA INCLUSIVA PARA PERSONAS CON DISCAPACIDAD Y SU CUIDADOR</t>
  </si>
  <si>
    <t>Servicio integral de pasadía en centro recreativo accesible</t>
  </si>
  <si>
    <t>Póliza contra accidentes personales</t>
  </si>
  <si>
    <t>COMPONENTE 6:  ACTIVIDAD FÍSICA MUSICALIZADA</t>
  </si>
  <si>
    <t>CAMISETA PARTICIPANTES (TIPO T‑SHIRT)</t>
  </si>
  <si>
    <t>COMPONENTE 7:  CAMPEONATOS RECREODEPORTIVOS COMUNITARIOS</t>
  </si>
  <si>
    <t>Servicio de juzgamiento por partido, prestado por cuerpo arbitral avalado por liga o entidad competente, conforme al sistema de juego aprobado.</t>
  </si>
  <si>
    <t>Servicio de juzgamiento por partido, prestado por cuerpo arbitral avalado, conforme al sistema de juego aprobado.</t>
  </si>
  <si>
    <t>Servicio de juzgamiento por partido, prestado por cuerpo arbitral avalado por liga correspondiente, conforme al sistema de juego aprobado.</t>
  </si>
  <si>
    <t>Planillas de juego</t>
  </si>
  <si>
    <t>Juzgamiento fútbol sala</t>
  </si>
  <si>
    <t>Juzgamiento fútbol seis</t>
  </si>
  <si>
    <t>Juzgamiento baloncesto</t>
  </si>
  <si>
    <t>Servicio / jornada</t>
  </si>
  <si>
    <t>Bonos Primer puesto</t>
  </si>
  <si>
    <t>Bonos Segundo puesto</t>
  </si>
  <si>
    <t>COMPONENTE 8:  FESTIVAL DE INTEGRACIÓN DE JUEGOS AUTOCTONOS BARRIALES</t>
  </si>
  <si>
    <t>Bates para yermis</t>
  </si>
  <si>
    <t>Juego de Cucunuba</t>
  </si>
  <si>
    <t>Bono Primer Puesto Ponchados</t>
  </si>
  <si>
    <t>Bono Segundo Puestos Yermis</t>
  </si>
  <si>
    <t>Bono Segundo Puestos Ponchados</t>
  </si>
  <si>
    <t>Bono Primer Puesto Laso</t>
  </si>
  <si>
    <t>Bono Primer Puesto Encostalados</t>
  </si>
  <si>
    <t>Bono Primer Puesto Cucunuba</t>
  </si>
  <si>
    <t>Bono Segundo Puesto Laso</t>
  </si>
  <si>
    <t>Bono Segundo Puesto Encostalados</t>
  </si>
  <si>
    <t>Bono SegundoPuesto Cucunuba</t>
  </si>
  <si>
    <t>COMPONENTE 9:  COMPETENCIA DE BALINERAS DE CIUDAD BOLIVAR</t>
  </si>
  <si>
    <t>Carro de balineras</t>
  </si>
  <si>
    <t>Comisarios de competencia</t>
  </si>
  <si>
    <t>Profesionales en ciencias del deporte y con experiencia en este tipo de certámenes, será la máxima autoridad de la competencia y sus decisiones son inapelables. Apoyaran con las decisiones previas de los recorridos y las medidas de seguridad en cada recorrido su asesoría es de vital importancia para el éxito del evento. Además, son los únicos encargados de dar la información y estadística de las competencias, también apoyarán en la elaboración del reglamento y estarán presentes en el congresillo técnico. Son dos (2) comisarios por el día de competencia = 2 servicios incluyen radios de comunicación.</t>
  </si>
  <si>
    <t>Cronometristas</t>
  </si>
  <si>
    <t>Apoyos logísticos</t>
  </si>
  <si>
    <t>Arco de salida y meta tipo TRUSS</t>
  </si>
  <si>
    <t>Maletines de contención</t>
  </si>
  <si>
    <t>Cinta de demarcación</t>
  </si>
  <si>
    <t>Tarima de premiación</t>
  </si>
  <si>
    <t>Sonido para premiación</t>
  </si>
  <si>
    <t>Número para competencia (dorsal)</t>
  </si>
  <si>
    <t>Kit de casco de seguridad y guantes</t>
  </si>
  <si>
    <t>Bono Primer Puesto Categoria Juvenil y Mayores</t>
  </si>
  <si>
    <t>Bono Segundo Puesto Categoria Juvenil y Mayores</t>
  </si>
  <si>
    <t>Planta eléctrica</t>
  </si>
  <si>
    <t>Transporte tipo microbús – zona rural</t>
  </si>
  <si>
    <t>Servicio de transporte terrestre en vehículo tipo microbús con capacidad entre 17 y 25 pasajeros, para desplazamientos internos dentro de la Localidad de Ciudad Bolívar, incluyendo UPZ y zona rural. El servicio se prestará por jornada completa, garantizando condiciones técnico‑mecánicas vigentes, conductor idóneo y cumplimiento de la normatividad de tránsito.</t>
  </si>
  <si>
    <t>Guía turístico</t>
  </si>
  <si>
    <t>COMPONENTE 10:  SENDERISMO ECOLOGICO</t>
  </si>
  <si>
    <t>Juzgamiento en vía de Competencia</t>
  </si>
  <si>
    <t xml:space="preserve">VALOR UNITARIO IVA INCLUIDO </t>
  </si>
  <si>
    <t>SANTORINI SAS
NIT: 8999999061-9</t>
  </si>
  <si>
    <t>STARTER TECNOLOGY SAS
NIT: 901148413-3</t>
  </si>
  <si>
    <t>VALOR UNITARIO
IVA INCLUIDO</t>
  </si>
  <si>
    <t>ANALISIS COTIZACIONES</t>
  </si>
  <si>
    <t xml:space="preserve">MEDIANA  </t>
  </si>
  <si>
    <t xml:space="preserve">PROMEDIO </t>
  </si>
  <si>
    <t xml:space="preserve">DESVIACIÓN ESTÁNDAR 
</t>
  </si>
  <si>
    <t>DISPERSIÓN PRECIOS 
(Promedio)</t>
  </si>
  <si>
    <t>SE TOMA EL PROMEDIO COMO MEDIDA DE TENDENCIA CENTRAL. VALORES TOMADOS DE LA CANASTA DE COSTOS 2025.</t>
  </si>
  <si>
    <t xml:space="preserve">RESULTADO DEL ANALISIS </t>
  </si>
  <si>
    <t xml:space="preserve">OBSERVACIONES </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</si>
  <si>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</si>
  <si>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</si>
  <si>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DESAYUNO TIPO 1</t>
  </si>
  <si>
    <t>(170 gramos mínimo) Sopa (Caldo de costilla ó changua), tamal, calentado, entre otros.
un (1) Carbohidrato de 70 gramos (pan, arepa, tostadas, entre otros)
Una (1) Proción de fruta de 100 gramos
Un (1) Jugo Natural de 9 onzas (naranja o mandarina)
Una (1) Bebida Caliente de 12 Onzas) (Café, té, Chocolate)
Mantequilla 10 gramos, Mermelada 15 gramos
El empaque del desayuno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incluye transporte de entrega. 
(Presentar 4 alternativas o atender a solicitud de enfoque diferencial cuando así lo requiera la Entidad. Incluye transporte, menaje y servicio (servido en plato o mesa según corresponda). Deben entregarse empacados herméticamente, garantizando productos frescos y preparación del mismo día , incluye transporte de entrega.</t>
  </si>
  <si>
    <t>FUNDACION SOCIAL Y CULTURAL GUERREROS DE LA VIDA
NIT:900384469</t>
  </si>
  <si>
    <t>A&amp;C
NIT:901.114.690-0</t>
  </si>
  <si>
    <t>ALMUERZO TIPO 1</t>
  </si>
  <si>
    <t>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 incluye transporte de entrega.</t>
  </si>
  <si>
    <t>PALILI EVENTOS S.A.S. 
2025
NIT: 901.463.924-5</t>
  </si>
  <si>
    <t>VALOR UNITARIO 2025 + IPC (5,10%)
IVA INCLUIDO</t>
  </si>
  <si>
    <t>FUNDACION COLOMBIANOS PA´LANTE
2025
NIT: 900.393.503-3</t>
  </si>
  <si>
    <t>INVERSIONES SERVICIOS INTEGRALES Y OCASIONALES DE COLOMBIA S.A.S.
2025
NIT: 900.995.091 - 4</t>
  </si>
  <si>
    <t>TELEMARKETER BPO &amp; LOGISTICS S.A.S.
2025
NIT: 901.012.708-6</t>
  </si>
  <si>
    <t>.
FUNDACIÓN IWOKE
2025
NIT: 900.094963-5</t>
  </si>
  <si>
    <t>PLAN DE CONTINGENCIA TIPO 3</t>
  </si>
  <si>
    <t>CONSULTORES Y ASESORES TIC S.A.S.
NIT: 901.360.556-5
(AÑO 2025)</t>
  </si>
  <si>
    <t>VALOR UNITARIO 2025 + IPC (5,10%) 
IVA INCLUIDO</t>
  </si>
  <si>
    <t>Operador Logístico Terranova S.A.S. 
NIT. 901.115.603-8</t>
  </si>
  <si>
    <t>FUNDACIÓN JUSTICIA SOCIAL
NIT: 830.069.703-8
(AÑO 2025)</t>
  </si>
  <si>
    <t>HELP AND LIFE MEDICAL S.A.S.
2025
NIT: 900.690.211-1</t>
  </si>
  <si>
    <t>Gestión del Riesgo y Seguridad Integral GRSI S.A.S. 
Nit 901.245.873-2</t>
  </si>
  <si>
    <t>Consultores en Gestión del Riesgo y Emergencias CONGRE S.A.S.
NIT. 900.986.412-5</t>
  </si>
  <si>
    <t>CARPA 4X4</t>
  </si>
  <si>
    <t>Deberá contar con dos personas auxiliares de enfermería con botiquín y carpa para atención de emergencias, debe contener como mínimo, una mesa y dos sillas.</t>
  </si>
  <si>
    <t xml:space="preserve">Puesto de primeros auxilios </t>
  </si>
  <si>
    <t>AMBULANCIAS PARTICULARES AYUDAR S.A.S.
2025
NIT: 901.625.520-1</t>
  </si>
  <si>
    <t>I.P.S EVENMAS S.A.S. - EVENTOS MASIVOS CIUDAD JARDIN S.A.S.
NIT: 900.596.884-6</t>
  </si>
  <si>
    <t>Bus dentro de la localidad 40 Personas</t>
  </si>
  <si>
    <t>FUNDACION VOLVI A NACER
NIT: 901791985-0</t>
  </si>
  <si>
    <t>ONE SOFT 
NIT: 901566858-1</t>
  </si>
  <si>
    <t>IDDENTIFY S.A.S
NIT: 901.412.899 -0</t>
  </si>
  <si>
    <t>UNITROFEOS S.A.S.
NIT: 900.343.428-5</t>
  </si>
  <si>
    <t>P&amp;P Medios Alternativos y Digitales
NIT: 900.817.626-1</t>
  </si>
  <si>
    <t>TROFEO TIPO 1</t>
  </si>
  <si>
    <t>CAC PUBLICIDAD
NIT: 830.135.170-5</t>
  </si>
  <si>
    <t xml:space="preserve">Refrigerio tipo 1 </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</si>
  <si>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</si>
  <si>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Hidratacion tipo dos </t>
  </si>
  <si>
    <t>ESCOLARES VERSALES S.A.S
NIT: 800.088.063 -4</t>
  </si>
  <si>
    <t>COMPAÑÍA PAPELERA NACIONAL S.A.S.
NIT: 900.009.495 - 8</t>
  </si>
  <si>
    <t>Papelería y Suministros El Escritorio S.A.S. 
NIT. 901.247.654-3</t>
  </si>
  <si>
    <t>Bisturi</t>
  </si>
  <si>
    <t>DISTRIBUIDORA NACIONAL GROUP S.A.S.
NIT 901.708.000-9</t>
  </si>
  <si>
    <t>Temperas</t>
  </si>
  <si>
    <t>AGC MANUFACTURA TEXTIL HAH
NIT: 900.438.771-6</t>
  </si>
  <si>
    <t>Diplomas en papel opalina, tamaña carta , impresión laser, full color, para los participantes del proceso , con los logos de la alcaldia local de ciudad bolivar, donde incluye el nombre del participante y una frase de participacion en dicho proceso.</t>
  </si>
  <si>
    <t>Certificado de participación (diploma)</t>
  </si>
  <si>
    <t>TARIMA 6x8</t>
  </si>
  <si>
    <t xml:space="preserve">Servicio/Dia </t>
  </si>
  <si>
    <t xml:space="preserve">Personal de Aseo  </t>
  </si>
  <si>
    <t>Estará encargado de mantener antes, durante y después del evento el aseo en las diferentes zonas donde se llevará a cabo el evento</t>
  </si>
  <si>
    <t>MOVIASEO S.A.S. 
NIT: 901.579.909-3</t>
  </si>
  <si>
    <t>VALOR UNITARIO
IVA INCLUIDO MAS IPC (5,1%)</t>
  </si>
  <si>
    <t>MISION SERVIR 
NIT. 900736537</t>
  </si>
  <si>
    <t>FUNDACION VOLVI A NACER 
NIT: 901791985-0</t>
  </si>
  <si>
    <t>PLAN DE CONTINGENCIA TIPO 2</t>
  </si>
  <si>
    <t>Elite Vans Service S.A.S.
NIT: 901.804.446-0</t>
  </si>
  <si>
    <t>TRANSPORTE MARTINEZ VIP S.A.S.
NIT: 900.815.941-9</t>
  </si>
  <si>
    <t>Plan de contingencia 1</t>
  </si>
  <si>
    <t>Seguridad, Riesgo y Prevención SRP Consulting S.A.S.
Nit 901.173.604-8</t>
  </si>
  <si>
    <t>Servicio ambulancia medicalizada con su respectiva tripulación (médico, auxiliar de enfermería y conductor)
Esta debe contar con una camilla, equipo básico de primeros auxilios y un desfibrilador, de acuerdo a lo establecido en la Resolución 2003 de 2014 del Ministerio de salud y la Norma Técnica Colombiana 3729.</t>
  </si>
  <si>
    <t>FLUVPMATIN
NIT:4235834-2</t>
  </si>
  <si>
    <t xml:space="preserve">FUN GUERREROS VIDA
NIT. :900384469 </t>
  </si>
  <si>
    <t xml:space="preserve"> GRAN COLOMBIA BETS
NIT. 1030558765-1
</t>
  </si>
  <si>
    <t>Camisetas tipo T-SHIRT, cuello redondo, diferentes tallas en diferentes colores, en algodón 100%, con terminados fileteados, con logos institucionales en pecho. En diferentes tallas</t>
  </si>
  <si>
    <t>DOTACIONES Y ESCOLARES S.A.S.
2025
NIT. 805.014.520 - 1</t>
  </si>
  <si>
    <t>VALOR UNITARIO 2025 + IPC (5,10%) IVA INCLUIDO</t>
  </si>
  <si>
    <t>DOTACIONES Y ESCOLARES S.A.S.
NIT. 805.014.520 - 1</t>
  </si>
  <si>
    <t>EL RINCON DE LA GANGA.
NIT. 675.826.943-3</t>
  </si>
  <si>
    <t>NEOART JF PUBLICIDAD SAS 
NIT. 901909774</t>
  </si>
  <si>
    <t>TECNICENTRO
NIT. 656.975.841-2</t>
  </si>
  <si>
    <t>CLUB DEPORTIVO EAGLES SKATE DEL MUNICIPIO DE MOSQUERA
2025
NIT. 901.773.493-2</t>
  </si>
  <si>
    <t>MOVITRONIC S.A.S
NIT. 830146283-6</t>
  </si>
  <si>
    <t>TEMPO FOODS S.A.S.
2025
NIT: 901.825.930-4</t>
  </si>
  <si>
    <t>BLEJ DEPORTES S.A.S.
2025
NIT. 900.291.928-1</t>
  </si>
  <si>
    <t>SPORT FITNESS EQUIPMENT S.A.S 
NIT. 902.389.756.1</t>
  </si>
  <si>
    <t>Camiseta manga larga</t>
  </si>
  <si>
    <t>Gorra (cachuchas)</t>
  </si>
  <si>
    <t>Alquiler de estructura Tipo TRUSS con espacio para Jueces en los puntos de llegada Longitud: Arcos de 4 a 6 metros de ancho y Altura: Arcos de 4 a 5 metros de altura. La estructura está fabricada en aluminio tubular de 50mm y 3mm de grosor en piezas enteras para evitar oscilaciones y movimientos de la misma. Los paneles y/o tela banner publicitaria con las palabras SALIDA y/o META, con los logos institucionales y ALCALDIA LOCAL DE CIUDAD BOLIVAR, colocar de forma sencilla tanto en los frentes como en los laterales inferiores y superiores.</t>
  </si>
  <si>
    <t xml:space="preserve">MALETINES DE CONTENCIÓN	Alquiler de maletines de contención: En material de polietileno de alta densidad, con protección UV, de 1.6 mt de largo x 91 cm de alto, 45.5 cm de ancho, según recomendaciones de los comisarios de carrera, se ubicarán preferiblemente sobre cierre de vías, intersecciones y en algunos sectores del recorrido que determinen los comisarios de carrera. Estos maletines son Para el día de competencia (pueden ser cambiados por bloques en material vegetal seco previo concertación con el personal de riesgos del FDLCB y el apoyo a la supervisión)
	</t>
  </si>
  <si>
    <t xml:space="preserve"> 
Cinta de demarcación: Color amarilla o naranja, con rayas negras oblicuas, que contengan texto “PELIGRO” o “NO PASE”, rollos por 500 metros, se ubicaran según recomendaciones de los comisarios en algunos sectores de los recorridos y en zona de ingreso a punto de salida y en zona de meta.</t>
  </si>
  <si>
    <t>EQUIPOS Y SERVICIOS DE EMERGENCIAS BOGOTÁ S.A.S.
NIT: 900.891.23-4</t>
  </si>
  <si>
    <t>PUBLICIDAD POP SOLUCIONES S.A.S.
NIT: 901.243.321-0</t>
  </si>
  <si>
    <t>VILLAMIL COMUNICACIÓN VISUAL
NIT: 900.688.310-6</t>
  </si>
  <si>
    <t>GLIO S.A.S. - GESTION LOGISTICA INVERSIONES OBRAS S.A.S.
NIT: 901.412.163-9</t>
  </si>
  <si>
    <t>CEDEINCO - CORPORACION ENCAMINADA AL DESARROLLO INTEGRAL DE LA COMUNIDAD
NIT: 830.123.987-3</t>
  </si>
  <si>
    <t>FUNDACION DE GESTION Y PROCESOS CULTURAL 
NIT: 900.456.669-9</t>
  </si>
  <si>
    <t>SIEN SAS 
NIT. 900490302</t>
  </si>
  <si>
    <t>Skape Guías Tour E U
NIT: 830.119.279-1</t>
  </si>
  <si>
    <t xml:space="preserve">MICROFONO SOLAPA (COMPRA)
</t>
  </si>
  <si>
    <t xml:space="preserve">Compra de MICROFONO INALAMBRICO / SOLAPA para las actividades. UHF: Sistema inalámbrico profesional, con body pack y micrófono de solapa unidireccional, con base de dos antenas, 40 a 70 metros de alcance, con accesorios y baterías recargables incluidos.
Transmisor:
Alimentación: 3 V- ͞͞͞- ͞- (2 x AA)
Rango en frecuencia: 600 MHz a 690 MHz
Estabilidad: 50 ppm (-10 °C a 50 °C)
Poder de transmisión: 10 dBm
Máximo nivel de alimentación:  450 dBV (a 1000 sinusoidal).
Receptor:
Alimentación: 13,5 V- ͞͞͞- ͞- 1A
Rango en frecuencia: 600 MHz a 690 MHz
Sensibilidad: -100 dBm
Respuesta en frecuencia: 50 Hz a 15 kHz ±2 dB
Rango dinámico: &gt;90 dB
Convertidor de voltaje:
Alimentación: 100 a 240 V~ 60 Hz 10 W
Salida: 13,5 V- ͞͞͞- ͞- 1 A </t>
  </si>
  <si>
    <t xml:space="preserve">VALOR UNITARIO
IVA INCLUIDO + CARGA TRIBUTARIA </t>
  </si>
  <si>
    <t>C&amp;C ELECTRONICA
NIT. 168421851</t>
  </si>
  <si>
    <t>SURTIESTEREO
NIT.  800089948</t>
  </si>
  <si>
    <t>PLASTIHOGAR 
 NIT: 901223004</t>
  </si>
  <si>
    <t>HOMECENTER 
NIT. 800.242.106-2</t>
  </si>
  <si>
    <t>PANAFARGO
NIT.  900.055.360-8,</t>
  </si>
  <si>
    <t>COMERCIAL PAPELERA
NIT. 860528396-9</t>
  </si>
  <si>
    <t>LA GARZA 
NIT. NIT 8220078325</t>
  </si>
  <si>
    <t>CELESTE
NIT.  800246963</t>
  </si>
  <si>
    <t xml:space="preserve">PAPYSER </t>
  </si>
  <si>
    <t>Conexión Esfera SAS BIC
NIT. 901.440.715-3</t>
  </si>
  <si>
    <t xml:space="preserve">CATERING PLACE SAS
NIT: 901791303-8 </t>
  </si>
  <si>
    <t>VALOR INTERNET IVA INCLUIDO</t>
  </si>
  <si>
    <t>BASE GRAVABLE</t>
  </si>
  <si>
    <t>VALOR UNITARIO (CARGA TRIBUTARIA 26% + UTILIDAD 10%)</t>
  </si>
  <si>
    <t xml:space="preserve">SE TOMA EL PROMEDIO COMO MEDIDA DE TENDENCIA CENTRAL. </t>
  </si>
  <si>
    <t xml:space="preserve">SE TOMA LA MEDIANA COMO MEDIDA DE TENDENCIA CENTRAL. </t>
  </si>
  <si>
    <t>SE TOMA LA MEDIANA COMO MEDIDA DE TENDENCIA CENTRAL. VALORES TOMADOS DE LA CANASTA DE COSTOS 2026</t>
  </si>
  <si>
    <t>SE TOMA EL PROMEDIO COMO MEDIDA DE TENDENCIA CENTRAL. VALORES TOMADOS DE LA CANASTA DE COSTOS 2026</t>
  </si>
  <si>
    <t>Punto operativo de suministro de agua potable con capacidad para la recarga simultánea, equivalente a un volumen total de 200 litros por jornada, garantizando condiciones de higiene, flujo continuo y acceso seguro al agua durante el desarrollo de las actividades recreo-deportivas y comunitarias.</t>
  </si>
  <si>
    <t>Kit individual de seguridad para actividad ciclística compuesto por luz recargable USB de uso universal, guantes de ciclismo en tallas S, M y L con ajuste ergonómico y material antideslizante, y casco de protección con sistema de ajuste regulable, ventilación incorporada y visera removible. Diseñado para garantizar condiciones de seguridad, visibilidad y comodidad durante actividades recreo-deportivas en bicicleta.</t>
  </si>
  <si>
    <t>Técnico mecánico de bicicletas encargado del mantenimiento preventivo previo a las salidas ciclísticas y del apoyo en contingencias básicas durante el recorrido. Deberá contar con herramientas básicas (llaves Allen, destornilladores, desmontadores de llantas, bomba de inflado) y repuestos menores como parches, válvulas y kits de reparación, garantizando la atención oportuna de fallas mecánicas simples y la continuidad segura de la actividad recreo-deportiva.</t>
  </si>
  <si>
    <t>Kit por recorrido para control y señalización vial, compuesto por conos de delimitación de alta visibilidad con altura entre 50 y 70 cm y base de 28 x 28 cm a 35 x 35 cm, cintas de señalización plástica de 50 a 100 metros de longitud, paletas manuales tipo “PARE/SIGA” con diámetro entre 25 y 30 cm en material rígido reflectivo, y chalecos reflectivos de alta visibilidad en tallas S, M, L y XL con bandas retrorreflectivas de 5 cm de ancho. Diseñado para garantizar el control, seguridad y orden durante el desarrollo de recorridos ciclísticos y actividades recreo-deportivas.</t>
  </si>
  <si>
    <t>Personal encargado del control de tiempos y clasificación de los equipos en los puntos de meta. Incluyen equipos de cronometraje manual o digital. Se encargarán de llevar los tiempos de recorrido de cada participante en cada etapa de cada categoría y rama, quienes llevarán un registró que se conmutara para generar los resultados y clasificaciones generales. con experiencia en eventos recreo deportivos y manejo de cronómetros de un (1) año. Son dos (2) jueces (2 servicios, incluyen radios de comunicación).</t>
  </si>
  <si>
    <t>VALOR DETERMINADO POR LA ENTIDAD. DICHO VALOR CORRESPONDE A PAGOS A TERCEROS, VALOR NO OFERTABLE E INMODIFICABLE. 
EL VALOR DEL BONO QUE DEBERA SER ENTREGADO A LOS BENEFICIARIOS ES DE $300.000</t>
  </si>
  <si>
    <t>Corresponde a la gestión, control y entrega de los bonos a terceros a los beneficiarios, garantizando su adecuada destinación, trazabilidad y soporte documental, conforme a las condiciones establecidas. El valor por concepto de administración no podrá superar el diez por ciento (10%) del valor del bono.</t>
  </si>
  <si>
    <t xml:space="preserve">Se entregarán bonos individuales de $150.000 por cada uno de los par-ticipantes de los equipos ganadores. </t>
  </si>
  <si>
    <t xml:space="preserve">Se entregarán bonos individuales de  $150.000 por cada uno de los par-ticipantes de los equipos ganadores. </t>
  </si>
  <si>
    <t>VALOR UNITARIO ANTESDE IMPUESTO (IVAY/O INC)</t>
  </si>
  <si>
    <t>VALOR IVA Y/O INC</t>
  </si>
  <si>
    <t>VALOR UNITARIO TECHO
IMPUESTOS INCLUIDOS (IVA Y/O INC)</t>
  </si>
  <si>
    <t xml:space="preserve">VALOR TOTAL
</t>
  </si>
  <si>
    <t>FUN GUERREROS DE VIDA
NIT: 900384469</t>
  </si>
  <si>
    <r>
      <t xml:space="preserve">NOTA 1:  </t>
    </r>
    <r>
      <rPr>
        <sz val="11"/>
        <color rgb="FF000000"/>
        <rFont val="Arial"/>
        <family val="2"/>
      </rPr>
      <t xml:space="preserve">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
</t>
    </r>
  </si>
  <si>
    <t>Deberá contar con dos personas auxiliares de enfermería con botiquín y carpa para atención de emergencias, debe contener como mínimo, una mesa y dos sillas. Incluye transporte, montaje y desmontaje</t>
  </si>
  <si>
    <t>Servicio de unidades sanitarias. Referencia: cabinas con tanque químico, dispensador antibacterial, mantenimiento durante la jornada; 1 unidad/100–150 personas (orientativo). Incluye: transporte
✔ instalación
✔ mantenimiento durante la jornada</t>
  </si>
  <si>
    <t>Alquiler de buses , recorridos al interior de la localidad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</si>
  <si>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Agua para el consumo humano en botella plástica reciclable (material 100% biodegradables en procesos de compostaje, biodegradables en proceso natural o que cuenten con contenido de materia prima 100% reciclada) - Presentación de mínimo 600 mililitros</t>
  </si>
  <si>
    <t>Agua para el consumo humano en botella plástica reciclable (material 100% biodegradables en procesos de compostaje, biodegradables en proceso natural o que cuenten con contenido de materia prima 100% reciclada) – Presentación de mínimo 300 mililitros.</t>
  </si>
  <si>
    <t>Servicio de pasadía para hasta 200 personas en centro recreativo ubicado en un municipio de Cundinamarca, de clima cálido, a una distancia mínima de 80 km y máxima de 90 km de Bogotá. El espacio deberá contar con recreación dirigida, restaurante, zonas verdes, canchas deportivas, mínimo dos (2) piscinas, servicios sanitarios adecuados y enfermería o puesto de salud con auxiliar de enfermería. El lugar deberá garantizar condiciones de accesibilidad para personas con discapacidad. El contratista deberá contar con pólizas de responsabilidad civil contractual y extracontractual que amparen los riesgos inherentes a la actividad dentro del centro recreativo.</t>
  </si>
  <si>
    <t>Balón de futbol de salón o futsala</t>
  </si>
  <si>
    <t xml:space="preserve"> GRUPO EMPRESARIAL MADEX S.A.S
NIT:  900.552.715-0</t>
  </si>
  <si>
    <t>DIDACTICOS CELMAX SAS
NIT:  800045606-9</t>
  </si>
  <si>
    <t>Jungla Toys.sas
NIT: 902022877-9</t>
  </si>
  <si>
    <t xml:space="preserve">FUNDACION SOCIAL HORMIGUITA  
NIT: 901.900.163-2 </t>
  </si>
  <si>
    <t>Blej Deportes sas
NIT:   900291928</t>
  </si>
  <si>
    <t xml:space="preserve">DISTRIYERRI SAS
NIT:901539418 </t>
  </si>
  <si>
    <t>Balón baloncesto No.5</t>
  </si>
  <si>
    <t>Balón de futbol</t>
  </si>
  <si>
    <t xml:space="preserve">Paquete </t>
  </si>
  <si>
    <t xml:space="preserve">Naraddor/ Presentador </t>
  </si>
  <si>
    <t>Formatos oficiales impresoscon el logo de la alcaldia,  para el registro de resultados, consistentes en un paquete de noventa (90) planillas destinadas al control de partidos y recolección de firmas del cuerpo de juzgamiento, correspondientes a los ochenta (80) partidos programados en los cinco (5) campeonatos, incluyendo un margen para reposición y contingencias.</t>
  </si>
  <si>
    <r>
      <t xml:space="preserve">Balón de fútbol de salón (Futsala)
</t>
    </r>
    <r>
      <rPr>
        <b/>
        <sz val="11"/>
        <color theme="1"/>
        <rFont val="Arial"/>
        <family val="2"/>
      </rPr>
      <t>Características técnicas:</t>
    </r>
    <r>
      <rPr>
        <sz val="11"/>
        <color theme="1"/>
        <rFont val="Arial"/>
        <family val="2"/>
      </rPr>
      <t xml:space="preserve">
Cubierta en material sintético laminado y/o cosido.
Impermeable y con estabilidad de peso para uso interior y exterior en diferentes superficies.
Alta resistencia al desgaste.
</t>
    </r>
    <r>
      <rPr>
        <b/>
        <sz val="11"/>
        <color theme="1"/>
        <rFont val="Arial"/>
        <family val="2"/>
      </rPr>
      <t xml:space="preserve">Especificaciones físicas: 
</t>
    </r>
    <r>
      <rPr>
        <sz val="11"/>
        <color theme="1"/>
        <rFont val="Arial"/>
        <family val="2"/>
      </rPr>
      <t xml:space="preserve">Peso: entre 410 y 450 gramos.
Circunferencia: entre 58 y 62 cm.
</t>
    </r>
    <r>
      <rPr>
        <b/>
        <sz val="11"/>
        <color theme="1"/>
        <rFont val="Arial"/>
        <family val="2"/>
      </rPr>
      <t>Certificación:</t>
    </r>
    <r>
      <rPr>
        <sz val="11"/>
        <color theme="1"/>
        <rFont val="Arial"/>
        <family val="2"/>
      </rPr>
      <t xml:space="preserve">
Aprobado y/o certificado bajo normas oficiales vigentes.
Certificación por federación nacional y/o internacional (FCF, DIMAYOR, FIFA).
Evidencia mediante sello visible en la superficie del balón</t>
    </r>
  </si>
  <si>
    <r>
      <t xml:space="preserve">Balón de baloncesto No. 5
</t>
    </r>
    <r>
      <rPr>
        <b/>
        <sz val="11"/>
        <color theme="1"/>
        <rFont val="Arial"/>
        <family val="2"/>
      </rPr>
      <t>Características técnicas:</t>
    </r>
    <r>
      <rPr>
        <sz val="11"/>
        <color theme="1"/>
        <rFont val="Arial"/>
        <family val="2"/>
      </rPr>
      <t xml:space="preserve">
Cubierta en caucho natural vulcanizado.
Impermeable, resistente al desgaste, apto para uso en exteriores (asfalto) e interiores.
Superficie antideslizante con excelente agarre.
Rebote controlado entre 120 y 140 cm.
</t>
    </r>
    <r>
      <rPr>
        <b/>
        <sz val="11"/>
        <color theme="1"/>
        <rFont val="Arial"/>
        <family val="2"/>
      </rPr>
      <t xml:space="preserve">Especificaciones físicas:
</t>
    </r>
    <r>
      <rPr>
        <sz val="11"/>
        <color theme="1"/>
        <rFont val="Arial"/>
        <family val="2"/>
      </rPr>
      <t xml:space="preserve">Peso: entre 470 y 510 gramos.
Circunferencia: entre 69 y 70 cm.
</t>
    </r>
    <r>
      <rPr>
        <b/>
        <sz val="11"/>
        <color theme="1"/>
        <rFont val="Arial"/>
        <family val="2"/>
      </rPr>
      <t>Certificación:</t>
    </r>
    <r>
      <rPr>
        <sz val="11"/>
        <color theme="1"/>
        <rFont val="Arial"/>
        <family val="2"/>
      </rPr>
      <t xml:space="preserve">
Aprobado y/o certificado bajo normas oficiales vigentes.
Certificación por federación nacional y/o internacional (LPB, FCB, FIBA).
Evidencia mediante sello visible en la superficie del balón</t>
    </r>
  </si>
  <si>
    <t>APOYO LOGISTICO</t>
  </si>
  <si>
    <t>ALMACENES ÉXITO SA
NIT: 890900608-9</t>
  </si>
  <si>
    <t>ELECTRO AUDIO 
NIT: 52803015-6</t>
  </si>
  <si>
    <t>VALOR DETERMINADO POR LA ENTIDAD. DICHO VALOR CORRESPONDE A PAGOS A TERCEROS, VALOR NO OFERTABLE E INMODIFICABLE.EL VALOR DEL BONO QUE DEBERA SER ENTREGADO ES DE $150.000.</t>
  </si>
  <si>
    <t>Cucunuba,
Con 4 balines o canicas de cristal de
*Dimensiones;  Entre 1.5 cm y 3 cm.
Mueble de cunuba en MDF con dimensiones 
*ancho: entre 60 cm y 120 cm,
*alto: entre 30 cm y 60 cm,
*inclinación entre 30° y 45°
Con tablero marcador de puntuación.</t>
  </si>
  <si>
    <t xml:space="preserve">Se entregarán bonos individuales de $300.000 por cada uno de los participantes de los equipos gana-dores. </t>
  </si>
  <si>
    <t>Entrega de bonos canjeables en establecimiento comercial reconocido, por valor individual de 300.000 para cada integrante del equipo (2 personas). Los bonos serán destinados exclusivamente para la adquisición de implementos deportivos u otros productos autorizados por la supervisión.</t>
  </si>
  <si>
    <t>Entrega de bonos canjeables en establecimiento comercial reconocido, por valor individual de $150.000 para cada integrante del equipo (2 personas). Los bonos serán destinados exclusivamente para la adquisición de implementos deportivos u otros productos autorizados por la supervisión.</t>
  </si>
  <si>
    <t xml:space="preserve">
GuIa experimentado propio de la zona rural de la localidad de ciudad Bolívar, deberá contar con la tarjeta como guía turístico. Experiencia de dos años como guía.  Deben ser  una persona autorizada que permita guiar el recorrido y dotar de los recursos informativos necesarios para que puedan aprovechar al máximo su tiempo en la salida.
</t>
  </si>
  <si>
    <t xml:space="preserve">Lazo salto de 3 metros </t>
  </si>
  <si>
    <t>PLASTICOS CREATIVOS S.A.S
NIT: 811004496-1</t>
  </si>
  <si>
    <t>Platillo de señalización</t>
  </si>
  <si>
    <t>Servicio de Alquiler sonido, sonido de 2000 watios con raider técnico, alquiler por un día ( mínimo 3 micrófonos inalámbricos, incluye operador de sonido) X 2 SERVICIOS, incluye viejoteca con su operador de sonido, ingeniero de sonido y todos los elementos requeridos para su operación</t>
  </si>
  <si>
    <t>Alquiler planta eléctrica de 5.000 W para evento (Día).
Caracteristicas: 
Capacidad mínima: 5.000 W (5 kW).
Tipo: planta eléctrica portátil o estacionaria para eventos.
Voltaje de salida: 110 V y/o 220 V.
Frecuencia: 60 Hz.
Sistema de arranque: manual y/o eléctrico.
Autonomía mínima: operación continua durante la jornada del evento.
Incluye cables y conexiones básicas para suministro eléctrico.
Equipamiento con sistema de protección contra sobrecarga.
Nivel de ruido moderado, apto para actividades en exteriores o espacios ventilados.
Equipo en óptimas condiciones operativas y de mantenimiento.
Unidad de medida: día de alquiler.</t>
  </si>
  <si>
    <r>
      <t xml:space="preserve">Servicio de Locutor o Moderador de cada final y acto de premiación. persona con experiencia en manejo de locución o presentador de eventos, preferiblemente residente de la localidad. 
</t>
    </r>
    <r>
      <rPr>
        <b/>
        <sz val="11"/>
        <color rgb="FF000000"/>
        <rFont val="Arial"/>
        <family val="2"/>
      </rPr>
      <t xml:space="preserve">Caracteristicas: </t>
    </r>
    <r>
      <rPr>
        <sz val="11"/>
        <color rgb="FF000000"/>
        <rFont val="Arial"/>
        <family val="2"/>
      </rPr>
      <t xml:space="preserve">
Locutor, narrador o presentador con experiencia en eventos deportivos, culturales o comunitarios.
Manejo adecuado de expresión verbal, dicción y comunicación con público.
Cobertura de toda la programación del evento.
Incluye presentación de competencias, llamados, resultados y premiaciones.
Disponibilidad mínima de 6 horas continuas.
Preferiblemente conocimiento de la dinámica local y comunitaria.
Unidad de medida: jornada/día.
</t>
    </r>
  </si>
  <si>
    <r>
      <t xml:space="preserve">Camiseta manga larga
</t>
    </r>
    <r>
      <rPr>
        <b/>
        <sz val="11"/>
        <color theme="1"/>
        <rFont val="Arial"/>
        <family val="2"/>
      </rPr>
      <t xml:space="preserve">Caracteristicas: </t>
    </r>
    <r>
      <rPr>
        <sz val="11"/>
        <color theme="1"/>
        <rFont val="Arial"/>
        <family val="2"/>
      </rPr>
      <t xml:space="preserve">
</t>
    </r>
    <r>
      <rPr>
        <b/>
        <sz val="11"/>
        <color theme="1"/>
        <rFont val="Arial"/>
        <family val="2"/>
      </rPr>
      <t>Material</t>
    </r>
    <r>
      <rPr>
        <sz val="11"/>
        <color theme="1"/>
        <rFont val="Arial"/>
        <family val="2"/>
      </rPr>
      <t xml:space="preserve">: tela 100% poliéster tipo Dry Fit o equivalente.
Manga larga.
</t>
    </r>
    <r>
      <rPr>
        <b/>
        <sz val="11"/>
        <color theme="1"/>
        <rFont val="Arial"/>
        <family val="2"/>
      </rPr>
      <t>Materia</t>
    </r>
    <r>
      <rPr>
        <sz val="11"/>
        <color theme="1"/>
        <rFont val="Arial"/>
        <family val="2"/>
      </rPr>
      <t xml:space="preserve">l: Tela ligera, transpirable y de secado rápido.
Cremallera plástica frontal resistente y durable.
Bolsillo posterior con acabado encauchado o equivalente.
Estampado mediante sublimación de alta calidad.
Incluye logos institucionales, diseños y colores definidos por la entidad.
</t>
    </r>
    <r>
      <rPr>
        <b/>
        <sz val="11"/>
        <color theme="1"/>
        <rFont val="Arial"/>
        <family val="2"/>
      </rPr>
      <t>Color</t>
    </r>
    <r>
      <rPr>
        <sz val="11"/>
        <color theme="1"/>
        <rFont val="Arial"/>
        <family val="2"/>
      </rPr>
      <t>: Colores vivos y resistentes al lavado y uso continuo.
Tallas surtidas según requerimiento de la entidad.
Acabados y costuras reforzadas.
Destinadas para premiación de subcampeones y tercer, cuarto y quinto puesto.
Unidad de medida: unidad.</t>
    </r>
  </si>
  <si>
    <r>
      <t xml:space="preserve">Número para competencia: 
</t>
    </r>
    <r>
      <rPr>
        <b/>
        <sz val="11"/>
        <color theme="1"/>
        <rFont val="Arial"/>
        <family val="2"/>
      </rPr>
      <t xml:space="preserve">Especificaciones técnicas:
</t>
    </r>
    <r>
      <rPr>
        <sz val="11"/>
        <color theme="1"/>
        <rFont val="Arial"/>
        <family val="2"/>
      </rPr>
      <t xml:space="preserve">
Material: banner de 13 onzas o equivalente de alta resistencia.
Impresión full color de alta definición.
Medidas</t>
    </r>
    <r>
      <rPr>
        <b/>
        <sz val="11"/>
        <color theme="1"/>
        <rFont val="Arial"/>
        <family val="2"/>
      </rPr>
      <t>:</t>
    </r>
    <r>
      <rPr>
        <sz val="11"/>
        <color theme="1"/>
        <rFont val="Arial"/>
        <family val="2"/>
      </rPr>
      <t xml:space="preserve"> Tamaño aproximado: 18 cm de alto x 16 cm de ancho.
Numeración con altura aproximada de 10 cm.
Grosor:  del trazo de los números: 1.5 cm aproximadamente.
Incluye logos institucionales y/o publicidad en la parte inferior del dorsal con altura aproximada de 6 cm.
Numeración consecutiva y estampada conforme al reglamento de competencia.
Incluye ganchos, seguros o sistema de fijación para el uniforme.
Diseño y diagramación suministrados o aprobados por la entidad.
Unidad de medida: unidad.
</t>
    </r>
  </si>
  <si>
    <t xml:space="preserve">Compra de Casco de seguridad
Caracteristicas: 
Sistema de agarre ajustable, tipo de casco extremo o urbano
Línea de protección y absorción de impacto,
Ventilaciones: 19 Perforaciones
 Peso: 254 G (S)
 Incluye: Visera Sistema de Ajuste: Boa System Coreas Y Broche 
Certificado de Seguridad Construcción: In Mold Material: EPS (Poli estireno Expandido)
Guantes de composición en Poliéster, elastano y cloruro de polivinilo, combinando durabilidad y elasticidad para un ajuste perfecto.
 En las palmas: Cosidas con forros de cloruro de polivinilo de alta calidad, proporcionando un agarre seguro y mejorado. Ligeros y elásticos, dedos cortos, con sistema de fijación con velcro. Kit x beneficiario.
</t>
  </si>
  <si>
    <r>
      <t xml:space="preserve">Medallas
</t>
    </r>
    <r>
      <rPr>
        <b/>
        <sz val="11"/>
        <color theme="1"/>
        <rFont val="Arial"/>
        <family val="2"/>
      </rPr>
      <t>Caracteristicas</t>
    </r>
    <r>
      <rPr>
        <sz val="11"/>
        <color theme="1"/>
        <rFont val="Arial"/>
        <family val="2"/>
      </rPr>
      <t xml:space="preserve">
Medidas:  de 5 cm de diámetro,  en alto relieve, fotograbadas con logos institucionales en ambas caras, 
Accesorio: cinta al cuello de 85 cm de largo y 2 cm de ancho
Colores institucionales de Bogotá. 
Acabado en bronce, 
Destinadas para primer, segundo y tercer puesto por categoría, conforme al reglamento de la competencia.</t>
    </r>
  </si>
  <si>
    <t>Medallas de participacion: 
 campeón y subcampeón</t>
  </si>
  <si>
    <t>Medallas de participacion: Primeros lugares</t>
  </si>
  <si>
    <t>Medallas de participacion: 
Puestos 1°, 2° y 3°</t>
  </si>
  <si>
    <t>Jueces de competencias
 Incluyen radios de comunicación.
 Perfil técnico.</t>
  </si>
  <si>
    <t>SAETA
NIT 860520782</t>
  </si>
  <si>
    <r>
      <t xml:space="preserve">Costales 
</t>
    </r>
    <r>
      <rPr>
        <b/>
        <sz val="11"/>
        <color theme="1"/>
        <rFont val="Arial"/>
        <family val="2"/>
      </rPr>
      <t>Material:</t>
    </r>
    <r>
      <rPr>
        <sz val="11"/>
        <color theme="1"/>
        <rFont val="Arial"/>
        <family val="2"/>
      </rPr>
      <t xml:space="preserve"> fique de alta resistencia o material equivalente,
</t>
    </r>
    <r>
      <rPr>
        <b/>
        <sz val="11"/>
        <color theme="1"/>
        <rFont val="Arial"/>
        <family val="2"/>
      </rPr>
      <t>Dimensione</t>
    </r>
    <r>
      <rPr>
        <sz val="11"/>
        <color theme="1"/>
        <rFont val="Arial"/>
        <family val="2"/>
      </rPr>
      <t>s aprox. 54 × 98 cm, 
Reutilizables para jornadas urbanas y rurales.</t>
    </r>
  </si>
  <si>
    <r>
      <t xml:space="preserve">Pelotas de caucho 
</t>
    </r>
    <r>
      <rPr>
        <b/>
        <sz val="11"/>
        <color theme="1"/>
        <rFont val="Arial"/>
        <family val="2"/>
      </rPr>
      <t>Material:</t>
    </r>
    <r>
      <rPr>
        <sz val="11"/>
        <color theme="1"/>
        <rFont val="Arial"/>
        <family val="2"/>
      </rPr>
      <t xml:space="preserve"> Goma suave y el caucho espumado reforzado
</t>
    </r>
    <r>
      <rPr>
        <b/>
        <sz val="11"/>
        <color theme="1"/>
        <rFont val="Arial"/>
        <family val="2"/>
      </rPr>
      <t xml:space="preserve">Diámetro: </t>
    </r>
    <r>
      <rPr>
        <sz val="11"/>
        <color theme="1"/>
        <rFont val="Arial"/>
        <family val="2"/>
      </rPr>
      <t xml:space="preserve"> 22 cm
</t>
    </r>
    <r>
      <rPr>
        <b/>
        <sz val="11"/>
        <color theme="1"/>
        <rFont val="Arial"/>
        <family val="2"/>
      </rPr>
      <t>Peso</t>
    </r>
    <r>
      <rPr>
        <sz val="11"/>
        <color theme="1"/>
        <rFont val="Arial"/>
        <family val="2"/>
      </rPr>
      <t xml:space="preserve"> entre 200 y 400 gramos
</t>
    </r>
    <r>
      <rPr>
        <b/>
        <sz val="11"/>
        <color theme="1"/>
        <rFont val="Arial"/>
        <family val="2"/>
      </rPr>
      <t>Textura;</t>
    </r>
    <r>
      <rPr>
        <sz val="11"/>
        <color theme="1"/>
        <rFont val="Arial"/>
        <family val="2"/>
      </rPr>
      <t xml:space="preserve"> anti deslizante
</t>
    </r>
    <r>
      <rPr>
        <b/>
        <sz val="11"/>
        <color theme="1"/>
        <rFont val="Arial"/>
        <family val="2"/>
      </rPr>
      <t>Color:</t>
    </r>
    <r>
      <rPr>
        <sz val="11"/>
        <color theme="1"/>
        <rFont val="Arial"/>
        <family val="2"/>
      </rPr>
      <t xml:space="preserve"> surtido.
aptas para ponchados </t>
    </r>
  </si>
  <si>
    <t xml:space="preserve">FUNDACION SEMILLERO DE VIDA </t>
  </si>
  <si>
    <r>
      <t xml:space="preserve">Cachuchas deportivas
</t>
    </r>
    <r>
      <rPr>
        <b/>
        <sz val="11"/>
        <color theme="1"/>
        <rFont val="Arial"/>
        <family val="2"/>
      </rPr>
      <t>Caracteristicas:</t>
    </r>
    <r>
      <rPr>
        <sz val="11"/>
        <color theme="1"/>
        <rFont val="Arial"/>
        <family val="2"/>
      </rPr>
      <t xml:space="preserve">
Material: Nylon Microfibra de alta resistencia, unicolor, de secado rápido y transpirable
Ventilación: 6 ojetes bordados (uno por panel) para circulación de aire.
Ajuste: Cierre posterior ajustable (correa con hebilla o velcro de alta densidad) para talle universal.
Acabados: Banda interna antisudor acolchada y costuras reforzadas.
Personalización: Logo institucional bordado en el panel frontal (alta densidad, hilos de poliéster resistentes al sol).</t>
    </r>
  </si>
  <si>
    <r>
      <t>Bate para yermis</t>
    </r>
    <r>
      <rPr>
        <b/>
        <sz val="11"/>
        <color theme="1"/>
        <rFont val="Arial"/>
        <family val="2"/>
      </rPr>
      <t xml:space="preserve">
Caracteristicas: </t>
    </r>
    <r>
      <rPr>
        <sz val="11"/>
        <color theme="1"/>
        <rFont val="Arial"/>
        <family val="2"/>
      </rPr>
      <t xml:space="preserve">
Longitud:Entre 50 y 75 cm para niños y recreación comunitaria.
Peso:Liviano o semipesado.ideal entre 300 g y 700 para facilitar el control y evitar lesiones.
Empuñadura: Antideslizante, forrada en goma  para mejor agarre.
Punta y bordes: Redondeados y sin filos ni astillas.
Resistencia: Debe soportar golpes frecuentes contra pelota y suelo sin fracturarse.</t>
    </r>
  </si>
  <si>
    <t>Tarima  4x4
Caracteristicas:
Producto: Alquiler de Tarima Modular Profesional para Premiación.
Dimensiones: Área de 4 m x 4 m (16 m² totales).
Estructura: Sistema modular tipo AMEQ (alta resistencia y estabilidad).
Accesorios Incluidos:Faldón perimetral decorativo (normalmente en color negro o azul)
.Escalera lateral de acceso con peldaños antideslizantes.Pódium de premiación de 3 niveles (Oro, Plata, Bronce).
Servicios: Logística completa (transporte, armado y desarmado).
Tiempo de servicio: Operación de hasta 6 horas continuas.</t>
  </si>
  <si>
    <t xml:space="preserve">Palos de balso livianos, 
Caracteristicas; 
Dimensiones y Forma: Longitud mínima de 90 cm, con perfil 
Estado de la Madera: Madera de balso 100% seca (estufada)
Delgados (1/4" a 1/2"):
Seguridad Manual (Crucial): Acabado superficial extra liso, libre de nudos, grietas o astillas que puedan causar lesiones.
</t>
  </si>
  <si>
    <t>Papel celofán liviano, 
Caracteristicas: 
Resistente al rasgado, 
apto para manualidades y uso recreativo en exteriores</t>
  </si>
  <si>
    <t>Rollo de piola resistente, 
Caracteristicas: 
Material: Poliamida (Nylon) 
Longitud: Rollo con un metraje garantizado de mínimo 100 metros continuos (sin nudos internos).
Calibre: Calibre medio (aprox. 1.5 mm a 2 mm de diámetro).
Propiedades: Alta resistencia a la fricción y a la intemperie (rayos UV)
Presentación: Enrollado en carrete plástico o centro de cartón reforzado para facilitar el desenrollado durante la actividad.</t>
  </si>
  <si>
    <t>Pegante no tóxico,
Caracteristicas: 
 Base acuosa,
 Apto para uso infantil y juvenil
,Presentación mínima 1 kg.</t>
  </si>
  <si>
    <t>Tijeras punta roma
Tipo:  escolar, 
Medidas: aproximadas 13 cm.</t>
  </si>
  <si>
    <t>Bisturí 
Medidas: 18mm plástico
Materiasl;  Cuchilla corrediza y cambiable Con bloqueo de cuchilla</t>
  </si>
  <si>
    <t>Caja de alfiler
Tamaño: mediano para fijación temporal de materiales.</t>
  </si>
  <si>
    <r>
      <t>Pinceles</t>
    </r>
    <r>
      <rPr>
        <b/>
        <sz val="11"/>
        <color theme="1"/>
        <rFont val="Arial"/>
        <family val="2"/>
      </rPr>
      <t xml:space="preserve">
Caracteristicas: 
</t>
    </r>
    <r>
      <rPr>
        <sz val="11"/>
        <color theme="1"/>
        <rFont val="Arial"/>
        <family val="2"/>
      </rPr>
      <t>Composición del Set: Tres (3) pinceles en numeración 4, 6 y 8
.Tipo de Punta: Forma redonda o plana (según necesidad), diseñada para trazos de precisión y relleno.
Material de la Cerda: Pelo sintético de nylon
Compatibilidad: Aptos para uso con témperas, pinturas escolares, acuarelas y vinilos
Mango: Ergonómico en madera barnizada</t>
    </r>
  </si>
  <si>
    <t>Tempera (vinilo),
Cantidas  en frasco de 20 ml c/u, 
Empaque x 6 unds,
Colores primarios Blanco, negros, amarillos, azul, rojo y verde.</t>
  </si>
  <si>
    <t>Canguro de uso mixto
Materiasl;  fabricado en material sintético resistente (poliéster o nylon), 
apto para actividades recreativas y al aire libre. 
Dimensiones aproximadas de 30–35 cm de largo, 12–15 cm de alto y 8–10 cm de profundidad.
 Cuenta con compartimentos con cierre en cremallera, correa ajustable (70–120 cm) con hebilla de seguridad y diseño liviano y ergonómico que facilita la movilidad y el almacenamiento seguro de objetos personales.</t>
  </si>
  <si>
    <t>VALOR DETERMINADO POR LA ENTIDAD. DICHO VALOR CORRESPONDE A PAGOS A TERCEROS, VALOR NO OFERTABLE E INMODIFICABLE.
EL VALOR DEL BONO QUE DEBERA SER ENTREGADO ES DE  $150.000</t>
  </si>
  <si>
    <t xml:space="preserve">ADMINISTRACION DEL RECURSO  </t>
  </si>
  <si>
    <t>Uniforme de Futbol Masculino</t>
  </si>
  <si>
    <r>
      <t xml:space="preserve">Conjunto deportivo diseñado para la práctica competitiva y recreativa del fútbol, compuesto por camiseta manga corta y pantaloneta, elaborado en tela deportiva de alto rendimiento con tecnología de transpiración y secado rápido, permitiendo comodidad, movilidad y resistencia durante la actividad física.
</t>
    </r>
    <r>
      <rPr>
        <b/>
        <sz val="11"/>
        <color theme="1"/>
        <rFont val="Arial"/>
        <family val="2"/>
      </rPr>
      <t>Características técnicas</t>
    </r>
    <r>
      <rPr>
        <sz val="11"/>
        <color theme="1"/>
        <rFont val="Arial"/>
        <family val="2"/>
      </rPr>
      <t xml:space="preserve">
Tela tipo  dry-fit.
Tecnología de absorción y evaporación del sudor.
Sublimación total de alta definición.
Costuras reforzadas para mayor durabilidad.
Cuello redondo 
Pantaloneta con pretina elástica y cordón ajustable.
Numeración y personalización incluida.
Resistente a múltiples lavadas y exposición solar.
Diseño ergonómico para libertad de movimiento.
Disponible en todas las tallas deportivas.</t>
    </r>
  </si>
  <si>
    <t>Uniforme de Futsal Masculino</t>
  </si>
  <si>
    <r>
      <t xml:space="preserve">Uniforme especializado para futsal, elaborado en materiales livianos y resistentes, diseñado para brindar agilidad, ventilación y comodidad en escenarios cubiertos y competencias de alto movimiento.
</t>
    </r>
    <r>
      <rPr>
        <b/>
        <sz val="11"/>
        <color theme="1"/>
        <rFont val="Arial"/>
        <family val="2"/>
      </rPr>
      <t xml:space="preserve">Características técnicas:
</t>
    </r>
    <r>
      <rPr>
        <sz val="11"/>
        <color theme="1"/>
        <rFont val="Arial"/>
        <family val="2"/>
      </rPr>
      <t xml:space="preserve">
Tela dry-fit o microfibra deportiva.
Diseño ligero y flexible.
Sublimación full color.
Alta resistencia al roce y fricción.
Camiseta manga corta deportiva.
Pantaloneta de corte atlético.
Personalización institucional o deportiva.
Costuras de seguridad reforzadas.
Excelente adaptación al movimiento rápido.
Conservación del color y estampado.</t>
    </r>
  </si>
  <si>
    <t>Uniforme de Futsal Femenino</t>
  </si>
  <si>
    <r>
      <t xml:space="preserve">Conjunto deportivo femenino para futsal, fabricado con materiales de alta transpirabilidad y elasticidad, ofreciendo comodidad, movilidad y resistencia durante entrenamientos y competencias.
</t>
    </r>
    <r>
      <rPr>
        <b/>
        <sz val="11"/>
        <color theme="1"/>
        <rFont val="Arial"/>
        <family val="2"/>
      </rPr>
      <t>Características técnicas:</t>
    </r>
    <r>
      <rPr>
        <sz val="11"/>
        <color theme="1"/>
        <rFont val="Arial"/>
        <family val="2"/>
      </rPr>
      <t xml:space="preserve">
Tela dry-fit o microfibra deportiva.
Diseño ergonómico femenino.
Sistema de ventilación y secado rápido.
Sublimación de alta calidad.
Costuras reforzadas y acabados deportivos.
Pantaloneta con cintura elástica.
Personalización incluida.
Material liviano y flexible.
Alta resistencia al desgaste.
Disponibilidad en diferentes tallas y colores.</t>
    </r>
  </si>
  <si>
    <t>Uniforme de Basquetbol Masculino</t>
  </si>
  <si>
    <r>
      <t xml:space="preserve">Uniforme deportivo para baloncesto compuesto por camiseta tipo esqueleto y short deportivo, elaborado en tela transpirable y liviana que facilita la movilidad, ventilación y rendimiento físico en cancha.
</t>
    </r>
    <r>
      <rPr>
        <b/>
        <sz val="11"/>
        <color theme="1"/>
        <rFont val="Arial"/>
        <family val="2"/>
      </rPr>
      <t>Características técnicas:</t>
    </r>
    <r>
      <rPr>
        <sz val="11"/>
        <color theme="1"/>
        <rFont val="Arial"/>
        <family val="2"/>
      </rPr>
      <t xml:space="preserve">
Tela dry-fit.
Camiseta tipo esqueleto.
Short amplio con ajuste elástico.
Sublimación total de alta resolución.
Material ligero y fresco.
Excelente ventilación corporal.
Costuras reforzadas.
Resistencia a la fricción y uso continuo.
Personalización con nombres y números.
Diseño cómodo para movimientos de salto y velocidad.</t>
    </r>
  </si>
  <si>
    <t>Uniforme de Basquetbol Femenino</t>
  </si>
  <si>
    <r>
      <t xml:space="preserve">Uniforme femenino de baloncesto diseñado para competencias y entrenamientos, confeccionado en materiales deportivos de alta calidad que brindan frescura, elasticidad y comodidad.
</t>
    </r>
    <r>
      <rPr>
        <b/>
        <sz val="11"/>
        <color theme="1"/>
        <rFont val="Arial"/>
        <family val="2"/>
      </rPr>
      <t xml:space="preserve">Características técnicas:
</t>
    </r>
    <r>
      <rPr>
        <sz val="11"/>
        <color theme="1"/>
        <rFont val="Arial"/>
        <family val="2"/>
      </rPr>
      <t xml:space="preserve">
Tela transpirable dry-fit.
Diseño femenino ergonómico.
Camiseta tipo esqueleto deportiva.
Short cómodo y flexible.
Sublimación full color.
Tecnología de secado rápido.
Costuras reforzadas.
Personalización institucional o deportiva.
Resistencia al uso continuo y lavado.
Amplia variedad de tallas y colores.</t>
    </r>
  </si>
  <si>
    <t>FUNDACION UN NUEVO FUTURO
NIT: 901004680-5</t>
  </si>
  <si>
    <t>Servicio de animador recreodeportivo de 5  horas de servicio, con experiencia en trabajo comunitario, encargado de la conducción del evento, orientación de participantes, apoyo a la premiación y fortalecimiento del ambiente lúdico y de integración barrial.</t>
  </si>
  <si>
    <t>Sonido profesional y Ryder técnico 15.000-20.000</t>
  </si>
  <si>
    <t>FALABELLA
NIT 900.017.447-8.</t>
  </si>
  <si>
    <t>ÉXITO 
890.900.608-9</t>
  </si>
  <si>
    <t>ALOKOSTO 
NIT. 890.900.943-1</t>
  </si>
  <si>
    <t xml:space="preserve">SE TOMA EL PROMEDIO  COMO MEDIDA DE TENDENCIA CENTRAL. </t>
  </si>
  <si>
    <t>SE TOMA LA MEDIANA COMO MEDIDA DE TENDENCIA CENTRAL. VALORES TOMADOS DE LA CANASTA DE COSTOS 2025.</t>
  </si>
  <si>
    <t>ART VICS 
NIT. 899999061-9</t>
  </si>
  <si>
    <t>SOT PUBLICIDAD SAS
NIT.  90190984 8</t>
  </si>
  <si>
    <t>COPIERSOLUCIONES JYL SAS
NIT. 901226563-4</t>
  </si>
  <si>
    <t>GRAFIHEN LTDANIT: 
900.035.800-1</t>
  </si>
  <si>
    <t xml:space="preserve">GRAFICAS COVARIA LTDA </t>
  </si>
  <si>
    <t>PUZZLE PULICIDAD
NIT. 80748125</t>
  </si>
  <si>
    <t xml:space="preserve">ONDAMBIENTAL STEREO </t>
  </si>
  <si>
    <t xml:space="preserve">EL RELATOR 
</t>
  </si>
  <si>
    <t xml:space="preserve">UNIDAD DE MEDIDA </t>
  </si>
  <si>
    <t>CANTIDAD A COTIZAR</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</si>
  <si>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</si>
  <si>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</si>
  <si>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Afiche publicitario</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</si>
  <si>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</si>
  <si>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</si>
  <si>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</si>
  <si>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</si>
  <si>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297.5</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</si>
  <si>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</si>
  <si>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535.5</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</si>
  <si>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</si>
  <si>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</si>
  <si>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</si>
  <si>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618.8</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</si>
  <si>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</si>
  <si>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Volante informativo</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</si>
  <si>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</si>
  <si>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202.3</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</si>
  <si>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</si>
  <si>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</si>
  <si>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VALORES TOMADOS DE LA COTIZACION ENVIADA POR  DELRELATOR  (Comunicación Comunitaria y Alternativa DE Bogota de la Localidad de Ciudad Bolivar) </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</si>
  <si>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</si>
  <si>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</si>
  <si>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</si>
  <si>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</si>
  <si>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</si>
  <si>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</si>
  <si>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VALORES TOMADOS DE DE LA COTIZACION ENVIADA POR COORDINADOR SONOROS ( vinculados a la
mesa Local de Ciudad Bolívar y registrados en la base de datos del IDPAC)</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</si>
  <si>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</si>
  <si>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</si>
  <si>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VALORES TOMADOS DE DE LA COTIZACION ENVIADA POR COORDINADOR SONOROS ( vinculados a la mesa Local de Ciudad Bolívar y registrados en la base de datos del IDPAC)</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</si>
  <si>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</si>
  <si>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Video clip promocional</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</si>
  <si>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</si>
  <si>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</si>
  <si>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1 minuto </t>
  </si>
  <si>
    <t>VALORES TOMADOS DE LA COTIZACION ENVIADA PORSECTOR AUDIOVISUAL MESA LOCAL DE COMUNICACIONES DE CIUDAD BOLÍVAR</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</si>
  <si>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</si>
  <si>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2 minutos </t>
  </si>
  <si>
    <t>COMPONNETE 3: FESTIVAL RECREODEPORTIVO RURAL</t>
  </si>
  <si>
    <t>VALOR UNITARIO ANTES DE IMPUESTO (IVAY/O INC)</t>
  </si>
  <si>
    <t>MICROBÚS</t>
  </si>
  <si>
    <t xml:space="preserve">Transporte de 17 a 25 personas (servicio vehículo tipo microbús) (intrelocal y dentro de localidad (UPZ`s y Zona Rural)) IDA Y VUELTA </t>
  </si>
  <si>
    <t>XIE SOLUCIONES S.A.S.
NIT: 901.445.415-1</t>
  </si>
  <si>
    <t>UNLOFT PRODUCCIÓN DE MARCA S.A.S.
NIT: 900.387.383-1</t>
  </si>
  <si>
    <t>DIFUSION Y COMUNICACION DEL PROYECTO</t>
  </si>
  <si>
    <t>Esta seria la descripcion del DIFUSION Y COMUNICACION DEL PROYECTO: "El ejecutor deberá desarrollar e implementar las actividades de divulgación, difusión y convocatoria del proyecto, de conformidad con los medios, piezas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piezas gráficas,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</si>
  <si>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El valor estimado para la administración del recurso corresponde al diez por ciento (10%) del valor destinado a bonos o pagos a terceros. Sobre dicho porcentaje se estimó una carga tributaria del veintiséis por ciento (26%), de conformidad con la normativa tributaria vigente. La carga tributaria no aplica sobre el valor de los bonos o pagos a terceros, sino exclusivamente sobre el componente de administración del recurso.</t>
  </si>
  <si>
    <t xml:space="preserve">Servicio/dia </t>
  </si>
  <si>
    <t>TALLER ELABORACION COMETAS ARTESANALES
Desarrollo de talleres prácticos de elaboración de cometas artesanales, dirigidos a la población beneficiaria del proyecto. Cada taller tendrá una duración de cuatro (4) horas por grupo atendido. El contratista deberá garantizar el talento humano, la metodología y el acompañamiento técnico necesarios para el adecuado desarrollo de la actividad. Se recomienda que el perfil del tallerista cuente con Experiencia comprobable en el desarrollo de talleres lúdico‑pedagógicos, comunitarios o recreativos, preferiblemente relacionados con manualidades en elaboración de cometas, actividades artísticas o procesos de educación no formal en un proyecto.</t>
  </si>
  <si>
    <r>
      <t xml:space="preserve">Lazo para salto utilizado en actividades deportivas, recreativas y pedagógicas.
</t>
    </r>
    <r>
      <rPr>
        <b/>
        <sz val="11"/>
        <color theme="1"/>
        <rFont val="Arial"/>
        <family val="2"/>
      </rPr>
      <t xml:space="preserve">Características técnicas:
</t>
    </r>
    <r>
      <rPr>
        <sz val="11"/>
        <color theme="1"/>
        <rFont val="Arial"/>
        <family val="2"/>
      </rPr>
      <t xml:space="preserve">Longitud aproximada: 3 metros.
Diámetro aproximado del lazo: ½ pulgada.
Elaborado en nylon, cabuya, algodón o material equivalente de alta resistencia.
Mangos ergonómicos fabricados en plástico resistente.
</t>
    </r>
  </si>
  <si>
    <r>
      <t xml:space="preserve">Platillo de señalización para actividades deportivas, recreativas y pedagógicas apilable para fácil almacenamiento.
</t>
    </r>
    <r>
      <rPr>
        <b/>
        <sz val="11"/>
        <color theme="1"/>
        <rFont val="Arial"/>
        <family val="2"/>
      </rPr>
      <t>Caracteristicas técnicas:</t>
    </r>
    <r>
      <rPr>
        <sz val="11"/>
        <color theme="1"/>
        <rFont val="Arial"/>
        <family val="2"/>
      </rPr>
      <t xml:space="preserve">
Material: PVC o silicona flexible de alta resistencia.
Colores variados.
</t>
    </r>
    <r>
      <rPr>
        <b/>
        <sz val="11"/>
        <color theme="1"/>
        <rFont val="Arial"/>
        <family val="2"/>
      </rPr>
      <t xml:space="preserve">Dimensiones:
</t>
    </r>
    <r>
      <rPr>
        <sz val="11"/>
        <color theme="1"/>
        <rFont val="Arial"/>
        <family val="2"/>
      </rPr>
      <t xml:space="preserve">Diámetro aproximado: 20 cm.
Altura aproximada: 5 cm.
Resistentes a exposición solar y humedad.
Material flexible que evita deformaciones y reduce riesgo de lesiones.
</t>
    </r>
  </si>
  <si>
    <r>
      <t xml:space="preserve">Vehículo recreativo no motorizado
</t>
    </r>
    <r>
      <rPr>
        <b/>
        <sz val="11"/>
        <color rgb="FF000000"/>
        <rFont val="Arial"/>
        <family val="2"/>
      </rPr>
      <t xml:space="preserve">Caracteristicas: </t>
    </r>
    <r>
      <rPr>
        <sz val="11"/>
        <color rgb="FF000000"/>
        <rFont val="Arial"/>
        <family val="2"/>
      </rPr>
      <t xml:space="preserve">
Vehículo recreativo no motorizado para competencia de balineras.
Estructura fabricada en madera y/o materiales reciclados resistentes.
Prohibido el uso de estructuras metálicas en el cuerpo principal del vehículo.
Longitud aproximada entre 1,20 m y 1,60 m.
Ancho aproximado entre 1,00 m y 1,20 m.
Peso máximo sin tripulación: 30 kg.
Sistema de dirección funcional y seguro.
Sistema de frenado no metálico en correcto funcionamiento.
Incluye sistema sonoro preventivo (campana, pito o equivalente).
Uso exclusivo de balineras metálicas hasta de 4 pulgadas.
Diseño estable, seguro y apto para pendientes o recorridos establecidos..
Incluye revisión técnica previa y aval del Comité Técnico de Seguimiento.</t>
    </r>
  </si>
  <si>
    <t>COMERCIALIADORA NATOS SAS</t>
  </si>
  <si>
    <t xml:space="preserve">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Alta complejidad. </t>
  </si>
  <si>
    <t>Compra, cabina de sonido activa con potencia mínima entre  500 W, alimentación AC 115V/60Hz, conectividad Bluetooth, USB, tarjeta SD y auxiliar, con micrófono incluido, apta para espacios abiertos y cerrados, utilizada para el desarrollo de las sesiones de actividad física musicalizada.</t>
  </si>
  <si>
    <t>Adquiler de  Servicio de sonido para evento al aire libre. Referencia: potencia 15.000–20.000 W RMS, consola digital ≥16 canales, ≥4 micrófonos inalámbricos, monitores de escenario, operación técnica permanente. Incluye montaje, transporte</t>
  </si>
  <si>
    <t xml:space="preserve">Mesa plegable tipo maletin </t>
  </si>
  <si>
    <t xml:space="preserve">Mesa portátil con sistema de cierre tipo maletín. Material Polietileno de Alta Densidad (HDPE) de mínimo 3.5 cm a 4 cm de espesor, 2. Estructura: Marco y patas de acero tubular de alta resistencia (mínimo 25 mm de diámetro) Sistema de Cierre: Plegable por la mitad con bisagras de acero bloqueables y manija de transporte integrada de alta resistencia. Dimensiones: Largo: 180 cm; Ancho: 70-75 cm; Alto: 74-76 cm.  Capacidad de Carga: Soporte mínimo de 150 kg a 200 kg de peso distribuido. Puesta en sitio de entrega.
</t>
  </si>
  <si>
    <t>Pitillo, tapa con seguro mezclador para bebidas en polvo y jugos.
Alto 21.5 cm. Diámetro 8 cm. Capacidad 1000 ml.
Etiqueta o estampado a una tinta (Diseño aprobado por la oficina de prensa ALCB)</t>
  </si>
  <si>
    <t>Adquiler de Servicio de sonido para evento al aire libre. Referencia: potencia 5.000–10.000 W RMS, consola digital ≥8 canales, ≥4 micrófonos inalámbricos, monitores de escenario, operación técnica permanente. Incluye instalacion y transporte</t>
  </si>
  <si>
    <t xml:space="preserve">Alquiler de Tarima de 6 mts X 8 mts de 20 cms a 1 mts de altura (por día), incluido techo
. Incluye trasnporte montaje y desmontaje.
 Estructuras en perfecto estado. Incluye contrapesos. </t>
  </si>
  <si>
    <t xml:space="preserve">Adquiler camioneta </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</si>
  <si>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Complejidad media</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</si>
  <si>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Baja complejidad</t>
  </si>
  <si>
    <t xml:space="preserve">unidad </t>
  </si>
  <si>
    <t xml:space="preserve">Bono Primer Puesto Yermis </t>
  </si>
  <si>
    <t>Se entregarán bonos individuales de $300.000 por cada uno de los partici-pantes de los equipos ganadores. Redimible en canasta básica familiar, en un almacén de cadena ubicado en la Localidad de Ciudad Bolívar.</t>
  </si>
  <si>
    <t>Bachiller que resida en la localidad de Ciudad Bolívar. Experiencia como apoyo logístico mínimo en 2 eventos "Personal identificado con chalecos o chaquetas “LOGÍSTICA”, encargado de señalización, control de público, orientación de participantes y apoyo en puntos críticos del recorrido. Incluye silbato y radio de comunicación". Preferiblemente que recida en la localidad</t>
  </si>
  <si>
    <t>Trayecto ida y vuelta</t>
  </si>
  <si>
    <t xml:space="preserve">Trayecto ida y vuelta </t>
  </si>
  <si>
    <t xml:space="preserve">COORDINADOR </t>
  </si>
  <si>
    <t>Caracteristicas: 
Trofeos tipo placa para evento 5 Gala de premiación
Elaborado en lámina de acrílico 100% original
Color cristal
Calibre 10 mm
Medida 15X15 CMS cuerpo y base de medida 17×6 CMS biselada en los lados
Grabado láser en cuerpo (color blanco).
Posibilidad de forma irregular o totalmente cuadrada
Logos institucionales.
Nota: El diseño será aprobado por la oficina de prensa de la ALCB</t>
  </si>
  <si>
    <t xml:space="preserve">COSTALES PARA CARRERA </t>
  </si>
  <si>
    <t xml:space="preserve">PELOTAS DE CAUCHO </t>
  </si>
  <si>
    <t>Título profesional en programas académicos pertenecientes a alguno de los siguientes Núcleos Básicos del conocimiento: Deportes, Educación Física y Recreación o Administración.
Experiencia Profesional: Dos (2) años de experiencia profesional certificada contada a partir de la expedición de la tarjeta profesional cuando aplique.
Especifica Experiencia: debidamente certificada en dos (2) proyectos relacionados como apoyo profesional de certámenes (juegos, torneos, campeonatos, escuelas, salidas recreativas) o eventos deportivos.</t>
  </si>
  <si>
    <t>Título profesional en programas académicos pertenecientes a alguno de los siguientes Núcleos Básicos del conocimiento: Deportes, Educación Física y Recreación.
Experiencia Profesional: Dos (2) años de experiencia profesional certificada contada a partir de la expedición de la tarjeta profesional cuando aplique.
Experiencia específica: Experiencia debidamente certificada en dos (2) proyectos relacionados con actividad física musicalizadas y/o su equivalente.</t>
  </si>
  <si>
    <t>Titulo de formación técnica, técnica profesional o tecnológica, o acreditación y aprobación del 50% o mas de un plan de estudios de una carrera profesional.
Experiencia específica:  Experiencia debidamente certificada en dos (2) proyectos como monitor de certámenes (juegos, torneos, campeonatos, salidas recreativas, competencias) o eventos recreativos. Apoyarán los procesos de promoción, divulgación e inscripciones de cada uno de los componentes, así mismo realizarán el acompañamiento y apoyo al desarrollo de todas las actividades planteadas en el proyecto. Preferiblemente residente de la Localidad.</t>
  </si>
  <si>
    <t xml:space="preserve">COMPONENTE 1: SALIDA RECREATIVA Y ACTIVIDAD FISICA PARA PERSONA MAYOR </t>
  </si>
  <si>
    <t xml:space="preserve">Alquiler de Tarima de 6 mts X 8 mts de 20 cms a 1 mts de altura (por día), incluido techo. Incluye trasnporte montaje y desmontaje. Estructuras en perfecto estado. Que Incluya contrapesos. </t>
  </si>
  <si>
    <t>Se requiere contratación de agrupaciones musicales de la siguiente manera:
1. Agrupación de Música Popular Colombiana
Servicio artístico consistente en la presentación en vivo de una agrupación local emergente de música popular colombiana, conformada por mínimo cuatro (4) integrantes, con repertorio de música popular, ranchera y despecho, dirigida a público familiar y comunitario.
Duración: 1 hora.
Integrantes: Mínimo 4.
2. Agrupación de Música Tropical
Servicio artístico consistente en la presentación en vivo de una agrupación local emergente de música tropical, interpretando géneros como salsa, merengue, cumbia, porro y tropical colombiana, fomentando la integración y participación de los asistentes.
Duración: 1 hora.
Integrantes: Mínimo 4.
3. Agrupación de Música Vallenata
Servicio artístico consistente en la presentación en vivo de una agrupación local emergente de música vallenata, integrada por acordeonero, cajero, guacharaquero y cantante, con repertorio tradicional y contemporáneo del folclor vallenato.
Duración: 1 hora.
Integrantes: Mínimo 4.
4. Agrupación de Música Urbana o Fusión Juvenil
Servicio artístico consistente en la presentación en vivo de una agrupación local emergente de música urbana, pop, rock o fusión latina, conformada por mínimo cuatro (4) integrantes, orientada a promover la participación de jóvenes y la diversidad cultural dentro de la programación artística del evento.
Duración: 1 hora.
Integrantes: Mínimo 4.</t>
  </si>
  <si>
    <t xml:space="preserve">Adquile de parque gigante,  servicio de suministro, instalación y operación de juego de parqués gigante,
Caracteristicas; 
Referencia técnica: tablero tipo tapete o rígido 
Dimensiones aproximadas 2×2 m hasta 3×3 m
Fichas de gran formato (30–50 cm de altura o diámetro) elaboradas en plástico resistente, con espuma; dados gigantes en material liviano. 
Peso total aproximado 20–60 kg según materiales. 
Superficie antideslizante, colores contrastantes y fácil lectura gráfica.
orientado a la recreación pedagógica, el aprendizaje de normas y la participación comunitaria. </t>
  </si>
  <si>
    <t>Agrupación de Música Carranguera Local Emergente
Servicio artístico y cultural consistente en la presentación en vivo de una agrupación local emergente de música carranguera, conformada por cuatro (4) integrantes, dedicada a la interpretación de repertorio tradicional del folclor andino colombiano mediante instrumentos típicos como guitarra, tiple, requinto y guacharaca.
La prestación del servicio comprende una presentación artística de una (1) hora de duración, incluyendo interpretación musical, animación e interacción con el público, promoviendo la preservación y difusión de las tradiciones culturales y musicales colombianas. La agrupación aportará sus instrumentos, vestuario acorde con el género musical y los recursos humanos necesarios para la ejecución de la actividad.
El servicio está dirigido a eventos comunitarios, culturales, recreativos e institucionales, fomentando la participación ciudadana y el fortalecimiento de la identidad cultural local.
Duración: Una (1) hora.
Número de integrantes: Cuatro (4) músicos.
Modalidad: Presentación artística en vivo de música carranguera tradicional colombiana.</t>
  </si>
  <si>
    <r>
      <t xml:space="preserve">Zonificación y logística del festival    </t>
    </r>
    <r>
      <rPr>
        <sz val="11"/>
        <color rgb="FFFF0000"/>
        <rFont val="Arial"/>
        <family val="2"/>
      </rPr>
      <t xml:space="preserve"> </t>
    </r>
  </si>
  <si>
    <t>SERVICIO DE APOYO PARA ZONIFICACIÓN BÁSICA Y ORIENTACIÓN LOGÍSTICA DEL FESTIVAL
Servicio de apoyo para la implementación de acciones básicas de zonificación, señalización y orientación logística durante el desarrollo del festival, con afluencia estimada de hasta dos mil (2.000) asistentes.
Alcance del servicio:
Diseño de zonificación básica
Elaboración de un (1) esquema digital de distribución del evento, identificando como mínimo: accesos, salidas, escenario, zona de público, servicios sanitarios y punto de información.
Señalización temporal
Suministro e instalación de mínimo ocho (8) elementos de señalización temporal.
Material: lona banner impresa de 13 onzas o superior.
Dimensiones mínimas: 0,80 metros de ancho por 1,20 metros de alto.
Sistema de soporte mediante estructura metálica portátil, bastidor, trípode o elemento equivalente.
Impresión full color con información visible y legible.
Delimitación básica de áreas
Suministro e instalación de mínimo doscientos (200) metros lineales de cinta de cerramiento.
Material: polietileno de alta resistencia o equivalente.
Ancho mínimo: 7 centímetros.
Incluye mínimo treinta (30) elementos de soporte entre conos, estacas plásticas o elementos equivalentes para la delimitación de espacios.
Personal de apoyo logístico
Disponibilidad de ocho (8) auxiliares logísticos debidamente identificados mediante chaleco o distintivo visible.
Permanencia durante la jornada del evento.
Funciones orientadas a la atención de asistentes, apoyo informativo, guía de circulación y apoyo operativo en accesos y zonas de concentración de público.</t>
  </si>
  <si>
    <t>Sonido profesional y Ryder técnico  10.000 W</t>
  </si>
  <si>
    <t xml:space="preserve">Alquiler de Carpa 4 mts X 4 mtscon laterales, contra peso, incluye montaje, transporte y desmontaje (Por día). Que incluya contrapeso. </t>
  </si>
  <si>
    <t>Servicio de animador recreodeportivo de 4  horas de servicio, con experiencia en trabajo comunitario, encargado de la conducción del evento, orientación de participantes, apoyo a la premiación y fortalecimiento del ambiente lúdico y de integración barrial.</t>
  </si>
  <si>
    <t>Alquiler de camioneta doble cabina
Modelo 2022 en adelante, con documentación al día, 
(póliza contra todo riesgo, SOAT y revisión técnico mecánica, conductor con licencia mínimo C2 sin comparendos, equipo de carretera y botiquín actualizados) con conductor y combustible. 
Servicio de transporte que ira detrás de todos los beneficiarios, recogiendo a los mismos que no puedan terminar el recorrido, junto con su bicicleta. Servicio por toda la jornada</t>
  </si>
  <si>
    <t>El bono será por valor de $300.000 redimible en canasta básica familiar, en un almacén de cadena ubicado en la Localidad de Ciudad Bolívar. De la siguiente manera 24 bonos para los campeones de futbol sala, 24 bonos para los campeones de Basquetboll y 12 Bonos para los campeones de Futboll 6. Para un total de 60 Bonos.</t>
  </si>
  <si>
    <t>El bono será por valor de $150.000 redimible en canasta básica familiar, en un almacén de cadena ubicado en la Localidad De Ciudad Bolívar. Realizar descripcion. De la siguiente manera 24 bonos para los subcampeones de futbol sala, 24 bonos para los subcampeones de Basquetboll y 12 Bonos para los subcampeones de Futboll 6. Para un total de 60 Bonos.</t>
  </si>
  <si>
    <t xml:space="preserve">Sonido básico portátil
</t>
  </si>
  <si>
    <t>SERVICIO DE SONIDO BÁSICO PORTÁTIL
Adquiler de Servicio de alquiler, instalación, operación y desmontaje de sistema de sonido básico portátil para actividades comunitarias, culturales, recreativas e institucionales de pequeño formato.
Características técnicas mínimas:
Dos (2) cabinas activas o amplificadas con potencia mínima de 500 W RMS cada una.
Una (1) consola de audio de mínimo cuatro (4) canales.
Dos (2) micrófonos inalámbricos de mano o equivalentes.
Dos (2) bases o trípodes para cabinas.
Cableado, conectores y accesorios necesarios para la correcta operación del sistema.
Operación y monitoreo básico del equipo durante el desarrollo de la actividad.
Montaje, prueba de sonido y desmontaje al finalizar el evento.
El sistema deberá garantizar una adecuada cobertura sonora para espacios abiertos o cerrados con afluencia aproximada de hasta doscientas (200) personas, destinado a intervenciones artísticas, actividades protocolarias, presentaciones culturales, jornadas comunitarias y actividades de participación ciudadana.</t>
  </si>
  <si>
    <t xml:space="preserve">Material de señalización
</t>
  </si>
  <si>
    <t>Taller de cometas</t>
  </si>
  <si>
    <t xml:space="preserve">CARPA 4X4 </t>
  </si>
  <si>
    <t>Valores tomados de la RESOLUCION No 1124 SECRETARIA DISTRITAL DE GOBIERNO, ACTUALIZADOS MEDIANTE EL MEMORANDO CON RADICADO 20254000408633 DEL 27 DE OCTUBRE DEL 2025</t>
  </si>
  <si>
    <r>
      <t xml:space="preserve">Balón de fútbol
</t>
    </r>
    <r>
      <rPr>
        <b/>
        <sz val="11"/>
        <color theme="1"/>
        <rFont val="Arial"/>
        <family val="2"/>
      </rPr>
      <t>Características técnicas:</t>
    </r>
    <r>
      <rPr>
        <sz val="11"/>
        <color theme="1"/>
        <rFont val="Arial"/>
        <family val="2"/>
      </rPr>
      <t xml:space="preserve">
Cubierta en material sintético laminado y/o cosido.
Enmallado en nailon de alta tenacidad y flexibilidad.
Impermeable, con absorción mínima de humedad.
Rebote controlado entre 110 y 155 cm bajo condiciones aproximadas de 20°C.
Alta resistencia al impacto y al desgaste.
Mantiene peso original e impermeabilidad para uso en exteriores e interiores sobre diferentes superficies.
</t>
    </r>
    <r>
      <rPr>
        <b/>
        <sz val="11"/>
        <color theme="1"/>
        <rFont val="Arial"/>
        <family val="2"/>
      </rPr>
      <t>Especificaciones físicas:</t>
    </r>
    <r>
      <rPr>
        <sz val="11"/>
        <color theme="1"/>
        <rFont val="Arial"/>
        <family val="2"/>
      </rPr>
      <t xml:space="preserve">
Peso: 410 y 450 gramos
Dimensiones aproximadas: 21 x 21 x 21 cm.
</t>
    </r>
    <r>
      <rPr>
        <b/>
        <sz val="11"/>
        <color theme="1"/>
        <rFont val="Arial"/>
        <family val="2"/>
      </rPr>
      <t xml:space="preserve">Certificación:
</t>
    </r>
    <r>
      <rPr>
        <sz val="11"/>
        <color theme="1"/>
        <rFont val="Arial"/>
        <family val="2"/>
      </rPr>
      <t>Aprobado y/o certificado bajo normas oficiales vigentes.
Certificación por federación nacional y/o internacional (FCF, DIMAYOR, FIFA).
Evidencia mediante sello visible en la superficie del balón.</t>
    </r>
  </si>
  <si>
    <t>Título profesional en programas académicos pertenecientes a alguno de los siguientes Núcleos Básicos del conocimiento: Deportes, Educación Física y Recreación o Administración con estudios de posgrado en gerencia de proyectos o en ciencias del deporte o actividad física o gestión deportiva o deportes.
Experiencia Profesional: Cinco (5) años de experiencia profesional certificada contada a partir de la expedición de la tarjeta profesional cuando aplique.
Experiencia específica: Experiencia debidamente certificada en coordinación, gerencia y/o dirección de mínimo 2 proyectos relacionados con eventos o actividades recreativas y/o deportivas.</t>
  </si>
  <si>
    <t>RESOLUCION No 1124 SECRETARIA DISTRITAL DE GOBIERNO MEMORANDO CON RADICADO 20254000408633 DEL 27 DE OCTUBRE DEL 2025)</t>
  </si>
  <si>
    <t>EL ITEM COMPRENDE LA BOLSA DE DIFUSION Y COMUNICACION DEL PROYECTO , ES UN VALOR INMODIFICABLE E INOFERTABLE, ESTE VALOR CORRESPONDE AL 1%  APROXIMADAMENTE DEL VALOR TOTAL DEL PRESUPUESTO OFICIAL DEL PROCESO ($1.076.324.000) ESTE VALOR COMPRENDE TODOS LOS GASTOS DIRECTOS E INDIRECTOS, TALES COMO LA ADMINISTRACION DEL RECURSO, IMPUESSTOS, TASAS Y RETRIBUCIONES A QUE HAYA LUGAR Y PUEDASN LLEGAR A GENERARSE DE ACUERDO A LA NORMATIVIDAD FISCAL VIGENTE.  PARA LA UTILIZACION DE DICHA BOLSA EL OFERENTE DEBERA DIRIGIRSE A LA PESTAÑA "BOLSA DIFUSION Y COMUNICACION DE PROYECTOS" EN LA CUAL SE ENCUENTRAN LA LISTA DE ITEMS REQUERIDOS DENTRO DE LA MISMA.</t>
  </si>
  <si>
    <t>Objeto: “PRESTAR LOS SERVICIOS INTEGRALES PARA LA REALIZACIÓN DE LOS EVENTOS RECREATIVOS Y DEPORTIVOS EN LA LOCALIDAD DE CIUDAD BOLÍVAR, EN EL MARCO DEL PLAN DE DESARROLLO LOCAL “CIUDAD BOLIVAR CAMINA SEGURA 2025-2028”</t>
  </si>
  <si>
    <t>Elementos de señalización básica para delimitación de áreas de juego, circulación y público asistente 
Servicio de apoyo para la implementación de acciones básicas de zonificación, señalización y orientación logística durante el desarrollo del festival, con afluencia estimada de hasta dos cientos (2000) asistentes.
Alcance del servicio:
Diseño de zonificación básica
Elaboración de un (1) esquema digital de distribución del evento, identificando como mínimo: accesos, salidas, escenario, zona de público, servicios sanitarios y punto de información.
Señalización temporal
Suministro e instalación de mínimo ocho (8) elementos de señalización temporal.
Material: lona banner impresa de 13 onzas o superior.
Dimensiones mínimas: 0,80 metros de ancho por 1,20 metros de alto.
Sistema de soporte mediante estructura metálica portátil, bastidor, trípode o elemento equivalente.
Impresión full color con información visible y legible.
Delimitación básica de áreas
Suministro e instalación de mínimo cien (100) metros lineales de cinta de cerramiento.
Material: polietileno de alta resistencia o equivalente.
Ancho mínimo: 7 centímetros.
Incluye mínimo treinta (30) elementos de soporte entre conos, estacas plásticas o elementos equivalentes para la delimitación de espacios.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</si>
</sst>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 #,##0;\-&quot;$&quot;\ #,##0"/>
    <numFmt numFmtId="6" formatCode="&quot;$&quot;\ #,##0;[Red]\-&quot;$&quot;\ #,##0"/>
    <numFmt numFmtId="44" formatCode="_-&quot;$&quot;\ * #,##0.00_-;\-&quot;$&quot;\ * #,##0.00_-;_-&quot;$&quot;\ * &quot;-&quot;??_-;_-@_-"/>
    <numFmt numFmtId="164" formatCode="&quot;$&quot;\ #,##0"/>
    <numFmt numFmtId="165" formatCode="&quot;$&quot;\ #,##0.00"/>
    <numFmt numFmtId="166" formatCode="_-&quot;$&quot;\ * #,##0_-;\-&quot;$&quot;\ * #,##0_-;_-&quot;$&quot;\ * &quot;-&quot;??_-;_-@_-"/>
    <numFmt numFmtId="167" formatCode="_-&quot;$&quot;\ * #,##0.00_-;\-&quot;$&quot;\ * #,##0.00_-;_-&quot;$&quot;\ * &quot;-&quot;??_-;_-@"/>
    <numFmt numFmtId="168" formatCode="_-&quot;$&quot;\ * #,##0.0_-;\-&quot;$&quot;\ * #,##0.0_-;_-&quot;$&quot;\ * &quot;-&quot;??_-;_-@_-"/>
    <numFmt numFmtId="169" formatCode="_-&quot;$&quot;\ * #,##0.0000000000000000_-;\-&quot;$&quot;\ * #,##0.0000000000000000_-;_-&quot;$&quot;\ * &quot;-&quot;??_-;_-@_-"/>
    <numFmt numFmtId="170" formatCode="0.000"/>
    <numFmt numFmtId="171" formatCode="0.0000000%"/>
  </numFmts>
  <fonts count="20" x14ac:knownFonts="1">
    <font>
      <sz val="11"/>
      <color theme="1"/>
      <name val="Aptos Narrow"/>
      <family val="2"/>
      <scheme val="minor"/>
    </font>
    <font>
      <sz val="11"/>
      <color theme="1"/>
      <name val="Aptos Narrow"/>
      <family val="2"/>
      <scheme val="minor"/>
    </font>
    <font>
      <sz val="11"/>
      <color theme="1"/>
      <name val="Arial"/>
      <family val="2"/>
    </font>
    <font>
      <b/>
      <sz val="11"/>
      <name val="Arial"/>
      <family val="2"/>
    </font>
    <font>
      <b/>
      <sz val="11"/>
      <color theme="1"/>
      <name val="Arial"/>
      <family val="2"/>
    </font>
    <font>
      <sz val="11"/>
      <color rgb="FF000000"/>
      <name val="Arial"/>
      <family val="2"/>
    </font>
    <font>
      <b/>
      <sz val="11"/>
      <color rgb="FF000000"/>
      <name val="Arial"/>
      <family val="2"/>
    </font>
    <font>
      <sz val="11"/>
      <name val="Arial"/>
      <family val="2"/>
    </font>
    <font>
      <sz val="12"/>
      <color theme="1"/>
      <name val="Garamond"/>
      <family val="1"/>
    </font>
    <font>
      <sz val="11"/>
      <color theme="0"/>
      <name val="Arial"/>
      <family val="2"/>
    </font>
    <font>
      <sz val="8"/>
      <name val="Aptos Narrow"/>
      <family val="2"/>
      <scheme val="minor"/>
    </font>
    <font>
      <b/>
      <sz val="11"/>
      <color theme="1"/>
      <name val="Aptos Narrow"/>
      <family val="2"/>
      <scheme val="minor"/>
    </font>
    <font>
      <b/>
      <sz val="11"/>
      <name val="Aptos Narrow"/>
      <family val="2"/>
    </font>
    <font>
      <sz val="11"/>
      <color theme="1"/>
      <name val="Aptos Narrow"/>
      <family val="2"/>
    </font>
    <font>
      <b/>
      <sz val="11"/>
      <color rgb="FF000000"/>
      <name val="Aptos Narrow"/>
      <family val="2"/>
    </font>
    <font>
      <b/>
      <sz val="11"/>
      <color theme="1"/>
      <name val="Aptos Narrow"/>
      <family val="2"/>
    </font>
    <font>
      <sz val="11"/>
      <color rgb="FF000000"/>
      <name val="Aptos Narrow"/>
      <family val="2"/>
    </font>
    <font>
      <sz val="11"/>
      <name val="Aptos Narrow"/>
      <family val="2"/>
    </font>
    <font>
      <sz val="11"/>
      <color rgb="FFFF0000"/>
      <name val="Arial"/>
      <family val="2"/>
    </font>
    <font>
      <sz val="11"/>
      <color theme="1"/>
      <name val="Garamond"/>
      <family val="1"/>
    </font>
  </fonts>
  <fills count="25">
    <fill>
      <patternFill patternType="none"/>
    </fill>
    <fill>
      <patternFill patternType="gray125"/>
    </fill>
    <fill>
      <patternFill patternType="solid">
        <fgColor theme="0" tint="-0.14999847407452621"/>
        <bgColor indexed="64"/>
      </patternFill>
    </fill>
    <fill>
      <patternFill patternType="solid">
        <fgColor theme="9" tint="0.59999389629810485"/>
        <bgColor rgb="FFBFBFBF"/>
      </patternFill>
    </fill>
    <fill>
      <patternFill patternType="solid">
        <fgColor theme="0"/>
        <bgColor rgb="FFBFBFBF"/>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D8D8D8"/>
        <bgColor indexed="64"/>
      </patternFill>
    </fill>
    <fill>
      <patternFill patternType="solid">
        <fgColor theme="2" tint="-9.9978637043366805E-2"/>
        <bgColor indexed="64"/>
      </patternFill>
    </fill>
    <fill>
      <patternFill patternType="solid">
        <fgColor rgb="FFFFFFFF"/>
        <bgColor indexed="64"/>
      </patternFill>
    </fill>
    <fill>
      <patternFill patternType="solid">
        <fgColor rgb="FFFFC000"/>
        <bgColor indexed="64"/>
      </patternFill>
    </fill>
    <fill>
      <patternFill patternType="solid">
        <fgColor theme="0"/>
        <bgColor rgb="FF00FFFF"/>
      </patternFill>
    </fill>
    <fill>
      <patternFill patternType="solid">
        <fgColor rgb="FFFFFFFF"/>
        <bgColor rgb="FF000000"/>
      </patternFill>
    </fill>
    <fill>
      <patternFill patternType="solid">
        <fgColor theme="3" tint="0.499984740745262"/>
        <bgColor indexed="64"/>
      </patternFill>
    </fill>
    <fill>
      <patternFill patternType="solid">
        <fgColor theme="9" tint="0.59999389629810485"/>
        <bgColor indexed="64"/>
      </patternFill>
    </fill>
    <fill>
      <patternFill patternType="solid">
        <fgColor theme="3" tint="0.499984740745262"/>
        <bgColor rgb="FFBFBFBF"/>
      </patternFill>
    </fill>
    <fill>
      <patternFill patternType="solid">
        <fgColor theme="2" tint="-0.249977111117893"/>
        <bgColor rgb="FFFFCCFF"/>
      </patternFill>
    </fill>
    <fill>
      <patternFill patternType="solid">
        <fgColor theme="2" tint="-0.249977111117893"/>
        <bgColor rgb="FFD8D8D8"/>
      </patternFill>
    </fill>
    <fill>
      <patternFill patternType="solid">
        <fgColor theme="3" tint="0.79998168889431442"/>
        <bgColor indexed="64"/>
      </patternFill>
    </fill>
    <fill>
      <patternFill patternType="solid">
        <fgColor theme="3" tint="0.749992370372631"/>
        <bgColor indexed="64"/>
      </patternFill>
    </fill>
    <fill>
      <patternFill patternType="solid">
        <fgColor theme="0" tint="-0.14996795556505021"/>
        <bgColor indexed="64"/>
      </patternFill>
    </fill>
    <fill>
      <patternFill patternType="solid">
        <fgColor theme="9" tint="0.39997558519241921"/>
        <bgColor indexed="64"/>
      </patternFill>
    </fill>
    <fill>
      <patternFill patternType="solid">
        <fgColor theme="3" tint="0.749992370372631"/>
        <bgColor rgb="FFD8D8D8"/>
      </patternFill>
    </fill>
    <fill>
      <patternFill patternType="solid">
        <fgColor theme="9"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diagonal/>
    </border>
    <border>
      <left style="thin">
        <color indexed="64"/>
      </left>
      <right style="thin">
        <color indexed="64"/>
      </right>
      <top/>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7">
    <xf numFmtId="0" fontId="0"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91">
    <xf numFmtId="0" fontId="0" fillId="0" borderId="0" xfId="0"/>
    <xf numFmtId="0" fontId="2" fillId="0" borderId="0" xfId="0" applyFont="1"/>
    <xf numFmtId="0" fontId="2" fillId="0" borderId="0" xfId="0" applyFont="1" applyAlignment="1">
      <alignment horizontal="center" vertical="center"/>
    </xf>
    <xf numFmtId="166" fontId="2" fillId="0" borderId="0" xfId="3" applyNumberFormat="1" applyFont="1" applyAlignment="1">
      <alignment horizontal="center" vertical="center"/>
    </xf>
    <xf numFmtId="0" fontId="2" fillId="5" borderId="0" xfId="0" applyFont="1" applyFill="1" applyAlignment="1">
      <alignment horizontal="center" vertical="center"/>
    </xf>
    <xf numFmtId="5" fontId="4" fillId="5" borderId="0" xfId="0" applyNumberFormat="1" applyFont="1" applyFill="1" applyAlignment="1">
      <alignment horizontal="center" vertical="center" wrapText="1" readingOrder="1"/>
    </xf>
    <xf numFmtId="0" fontId="4" fillId="5" borderId="0" xfId="0" applyFont="1" applyFill="1" applyAlignment="1">
      <alignment horizontal="center" vertical="center" wrapText="1"/>
    </xf>
    <xf numFmtId="0" fontId="4" fillId="6"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166" fontId="4" fillId="6" borderId="1" xfId="3" applyNumberFormat="1" applyFont="1" applyFill="1" applyBorder="1" applyAlignment="1">
      <alignment horizontal="center" vertical="center" wrapText="1"/>
    </xf>
    <xf numFmtId="0" fontId="4" fillId="8"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66" fontId="4" fillId="8" borderId="1" xfId="3" applyNumberFormat="1" applyFont="1" applyFill="1" applyBorder="1" applyAlignment="1">
      <alignment horizontal="center" vertical="center" wrapText="1"/>
    </xf>
    <xf numFmtId="167" fontId="4" fillId="18" borderId="16" xfId="0" applyNumberFormat="1" applyFont="1" applyFill="1" applyBorder="1" applyAlignment="1">
      <alignment horizontal="center" vertical="center" wrapText="1"/>
    </xf>
    <xf numFmtId="0" fontId="5" fillId="4" borderId="1" xfId="0" applyFont="1" applyFill="1" applyBorder="1" applyAlignment="1">
      <alignment horizontal="center" vertical="center"/>
    </xf>
    <xf numFmtId="0" fontId="2" fillId="5" borderId="1" xfId="2" applyFont="1" applyFill="1" applyBorder="1" applyAlignment="1">
      <alignment horizontal="center" vertical="center" wrapText="1"/>
    </xf>
    <xf numFmtId="6" fontId="2" fillId="0" borderId="1" xfId="0" applyNumberFormat="1" applyFont="1" applyBorder="1" applyAlignment="1">
      <alignment horizontal="center" vertical="center"/>
    </xf>
    <xf numFmtId="44" fontId="2" fillId="5" borderId="1" xfId="1" applyFont="1" applyFill="1" applyBorder="1" applyAlignment="1">
      <alignment horizontal="center" vertical="center" wrapText="1"/>
    </xf>
    <xf numFmtId="0" fontId="2" fillId="5" borderId="1" xfId="0" applyFont="1" applyFill="1" applyBorder="1" applyAlignment="1">
      <alignment horizontal="center" vertical="center"/>
    </xf>
    <xf numFmtId="0" fontId="2" fillId="0" borderId="1" xfId="0" applyFont="1" applyBorder="1" applyAlignment="1">
      <alignment horizontal="center" vertical="center"/>
    </xf>
    <xf numFmtId="0" fontId="6" fillId="0" borderId="1" xfId="0" applyFont="1" applyBorder="1" applyAlignment="1">
      <alignment horizontal="center" vertical="center"/>
    </xf>
    <xf numFmtId="166" fontId="3" fillId="12" borderId="1" xfId="3" applyNumberFormat="1" applyFont="1" applyFill="1" applyBorder="1" applyAlignment="1">
      <alignment horizontal="center" vertical="center" wrapText="1"/>
    </xf>
    <xf numFmtId="167" fontId="7" fillId="0" borderId="1" xfId="0" applyNumberFormat="1" applyFont="1" applyBorder="1" applyAlignment="1">
      <alignment horizontal="center" vertical="center" wrapText="1"/>
    </xf>
    <xf numFmtId="166" fontId="7" fillId="0" borderId="1" xfId="3" applyNumberFormat="1" applyFont="1" applyBorder="1" applyAlignment="1">
      <alignment horizontal="center" vertical="center" wrapText="1"/>
    </xf>
    <xf numFmtId="0" fontId="2" fillId="7" borderId="1" xfId="0" applyFont="1" applyFill="1" applyBorder="1" applyAlignment="1">
      <alignment horizontal="center" vertical="center"/>
    </xf>
    <xf numFmtId="44" fontId="2" fillId="0" borderId="1" xfId="3" applyFont="1" applyBorder="1" applyAlignment="1">
      <alignment horizontal="center" vertical="center"/>
    </xf>
    <xf numFmtId="0" fontId="2" fillId="0" borderId="1" xfId="0" applyFont="1" applyBorder="1" applyAlignment="1">
      <alignment horizontal="center" vertical="center" wrapText="1"/>
    </xf>
    <xf numFmtId="0" fontId="2" fillId="5" borderId="1" xfId="0" applyFont="1" applyFill="1" applyBorder="1" applyAlignment="1">
      <alignment horizontal="center" vertical="center" wrapText="1"/>
    </xf>
    <xf numFmtId="44" fontId="2" fillId="15" borderId="1" xfId="1" applyFont="1" applyFill="1" applyBorder="1" applyAlignment="1">
      <alignment horizontal="center" vertical="center" wrapText="1"/>
    </xf>
    <xf numFmtId="0" fontId="2" fillId="15" borderId="1" xfId="0" applyFont="1" applyFill="1" applyBorder="1" applyAlignment="1">
      <alignment horizontal="center" vertical="center"/>
    </xf>
    <xf numFmtId="0" fontId="5" fillId="15" borderId="1" xfId="0" applyFont="1" applyFill="1" applyBorder="1" applyAlignment="1">
      <alignment horizontal="center" vertical="center" wrapText="1"/>
    </xf>
    <xf numFmtId="166" fontId="5" fillId="15" borderId="1" xfId="3" applyNumberFormat="1" applyFont="1" applyFill="1" applyBorder="1" applyAlignment="1">
      <alignment horizontal="center" vertical="center" wrapText="1"/>
    </xf>
    <xf numFmtId="0" fontId="5" fillId="16" borderId="1" xfId="0" applyFont="1" applyFill="1" applyBorder="1" applyAlignment="1">
      <alignment horizontal="center" vertical="center"/>
    </xf>
    <xf numFmtId="0" fontId="2" fillId="14" borderId="1" xfId="2" applyFont="1" applyFill="1" applyBorder="1" applyAlignment="1">
      <alignment horizontal="center" vertical="center" wrapText="1"/>
    </xf>
    <xf numFmtId="0" fontId="2" fillId="14" borderId="1" xfId="0" applyFont="1" applyFill="1" applyBorder="1" applyAlignment="1">
      <alignment horizontal="center" vertical="center" wrapText="1"/>
    </xf>
    <xf numFmtId="164" fontId="2" fillId="14" borderId="1" xfId="0" applyNumberFormat="1" applyFont="1" applyFill="1" applyBorder="1" applyAlignment="1">
      <alignment horizontal="center" vertical="center"/>
    </xf>
    <xf numFmtId="44" fontId="2" fillId="14" borderId="1" xfId="1" applyFont="1" applyFill="1" applyBorder="1" applyAlignment="1">
      <alignment horizontal="center" vertical="center" wrapText="1"/>
    </xf>
    <xf numFmtId="0" fontId="2" fillId="14" borderId="1" xfId="0" applyFont="1" applyFill="1" applyBorder="1" applyAlignment="1">
      <alignment horizontal="center" vertical="center"/>
    </xf>
    <xf numFmtId="164" fontId="7" fillId="14" borderId="1" xfId="0" applyNumberFormat="1" applyFont="1" applyFill="1" applyBorder="1" applyAlignment="1">
      <alignment horizontal="center" vertical="center"/>
    </xf>
    <xf numFmtId="166" fontId="7" fillId="14" borderId="1" xfId="3" applyNumberFormat="1" applyFont="1" applyFill="1" applyBorder="1" applyAlignment="1">
      <alignment horizontal="center" vertical="center"/>
    </xf>
    <xf numFmtId="166" fontId="2" fillId="14" borderId="1" xfId="3" applyNumberFormat="1" applyFont="1" applyFill="1" applyBorder="1" applyAlignment="1">
      <alignment horizontal="center" vertical="center"/>
    </xf>
    <xf numFmtId="0" fontId="5"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5" fillId="4" borderId="7" xfId="0" applyFont="1" applyFill="1" applyBorder="1" applyAlignment="1">
      <alignment horizontal="center" vertical="center"/>
    </xf>
    <xf numFmtId="166" fontId="2" fillId="5" borderId="1" xfId="3" applyNumberFormat="1" applyFont="1" applyFill="1" applyBorder="1" applyAlignment="1">
      <alignment horizontal="center" vertical="center"/>
    </xf>
    <xf numFmtId="164" fontId="2" fillId="7" borderId="1" xfId="0" applyNumberFormat="1" applyFont="1" applyFill="1" applyBorder="1" applyAlignment="1">
      <alignment horizontal="center" vertical="center"/>
    </xf>
    <xf numFmtId="9" fontId="2" fillId="0" borderId="1" xfId="4" applyFont="1" applyFill="1" applyBorder="1" applyAlignment="1">
      <alignment horizontal="center" vertical="center"/>
    </xf>
    <xf numFmtId="166" fontId="2" fillId="0" borderId="1" xfId="3" applyNumberFormat="1" applyFont="1" applyFill="1" applyBorder="1" applyAlignment="1">
      <alignment horizontal="center" vertical="center"/>
    </xf>
    <xf numFmtId="6" fontId="2" fillId="0" borderId="1" xfId="0" applyNumberFormat="1" applyFont="1" applyBorder="1" applyAlignment="1">
      <alignment horizontal="center" vertical="center" wrapText="1"/>
    </xf>
    <xf numFmtId="6" fontId="5" fillId="0" borderId="1" xfId="0" applyNumberFormat="1" applyFont="1" applyBorder="1" applyAlignment="1">
      <alignment horizontal="center" vertical="center"/>
    </xf>
    <xf numFmtId="3" fontId="5" fillId="5" borderId="1" xfId="0" applyNumberFormat="1" applyFont="1" applyFill="1" applyBorder="1" applyAlignment="1">
      <alignment horizontal="center" vertical="center" wrapText="1"/>
    </xf>
    <xf numFmtId="6" fontId="4" fillId="0" borderId="1" xfId="0" applyNumberFormat="1" applyFont="1" applyBorder="1" applyAlignment="1">
      <alignment horizontal="center" vertical="center" wrapText="1"/>
    </xf>
    <xf numFmtId="165" fontId="2" fillId="5" borderId="1" xfId="3" applyNumberFormat="1" applyFont="1" applyFill="1" applyBorder="1" applyAlignment="1">
      <alignment horizontal="center" vertical="center"/>
    </xf>
    <xf numFmtId="0" fontId="5" fillId="0" borderId="9" xfId="0" applyFont="1" applyBorder="1" applyAlignment="1">
      <alignment horizontal="center" vertical="center" wrapText="1"/>
    </xf>
    <xf numFmtId="166" fontId="2" fillId="0" borderId="1" xfId="3" applyNumberFormat="1" applyFont="1" applyBorder="1" applyAlignment="1">
      <alignment horizontal="center" vertical="center"/>
    </xf>
    <xf numFmtId="164" fontId="2" fillId="15" borderId="1" xfId="0" applyNumberFormat="1" applyFont="1" applyFill="1" applyBorder="1" applyAlignment="1">
      <alignment horizontal="center" vertical="center"/>
    </xf>
    <xf numFmtId="9" fontId="2" fillId="15" borderId="1" xfId="4" applyFont="1" applyFill="1" applyBorder="1" applyAlignment="1">
      <alignment horizontal="center" vertical="center"/>
    </xf>
    <xf numFmtId="166" fontId="2" fillId="15" borderId="1" xfId="3" applyNumberFormat="1" applyFont="1" applyFill="1" applyBorder="1" applyAlignment="1">
      <alignment horizontal="center" vertical="center"/>
    </xf>
    <xf numFmtId="164" fontId="7" fillId="15" borderId="1" xfId="0" applyNumberFormat="1" applyFont="1" applyFill="1" applyBorder="1" applyAlignment="1">
      <alignment horizontal="center" vertical="center"/>
    </xf>
    <xf numFmtId="164" fontId="7" fillId="15" borderId="1" xfId="3" applyNumberFormat="1" applyFont="1" applyFill="1" applyBorder="1" applyAlignment="1">
      <alignment horizontal="center" vertical="center"/>
    </xf>
    <xf numFmtId="0" fontId="2" fillId="15"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2" fillId="0" borderId="1" xfId="2" applyFont="1" applyBorder="1" applyAlignment="1">
      <alignment horizontal="center" vertical="center" wrapText="1"/>
    </xf>
    <xf numFmtId="0" fontId="5" fillId="0" borderId="7" xfId="0" applyFont="1" applyBorder="1" applyAlignment="1">
      <alignment horizontal="center" vertical="center"/>
    </xf>
    <xf numFmtId="0" fontId="2" fillId="0" borderId="1" xfId="0" applyFont="1" applyBorder="1" applyAlignment="1">
      <alignment vertical="center" wrapText="1"/>
    </xf>
    <xf numFmtId="3" fontId="2" fillId="0" borderId="1" xfId="2" applyNumberFormat="1" applyFont="1" applyBorder="1" applyAlignment="1">
      <alignment horizontal="center" vertical="center" wrapText="1"/>
    </xf>
    <xf numFmtId="0" fontId="2" fillId="0" borderId="11" xfId="2" applyFont="1" applyBorder="1" applyAlignment="1">
      <alignment horizontal="center" vertical="center" wrapText="1"/>
    </xf>
    <xf numFmtId="0" fontId="2" fillId="0" borderId="7" xfId="0" applyFont="1" applyBorder="1" applyAlignment="1">
      <alignment horizontal="center" vertical="center"/>
    </xf>
    <xf numFmtId="0" fontId="5" fillId="0" borderId="0" xfId="0" applyFont="1" applyAlignment="1">
      <alignment horizontal="center" vertical="center"/>
    </xf>
    <xf numFmtId="0" fontId="5" fillId="0" borderId="4" xfId="0" applyFont="1" applyBorder="1" applyAlignment="1">
      <alignment horizontal="center" vertical="center"/>
    </xf>
    <xf numFmtId="166" fontId="5" fillId="0" borderId="1" xfId="3" applyNumberFormat="1" applyFont="1" applyBorder="1" applyAlignment="1">
      <alignment horizontal="center" vertical="center" wrapText="1"/>
    </xf>
    <xf numFmtId="9" fontId="2" fillId="5" borderId="1" xfId="4" applyFont="1" applyFill="1" applyBorder="1" applyAlignment="1">
      <alignment horizontal="center" vertical="center"/>
    </xf>
    <xf numFmtId="0" fontId="5" fillId="0" borderId="1" xfId="0" applyFont="1" applyBorder="1" applyAlignment="1">
      <alignment horizontal="center" vertical="center"/>
    </xf>
    <xf numFmtId="0" fontId="2" fillId="5" borderId="0" xfId="0" applyFont="1" applyFill="1"/>
    <xf numFmtId="0" fontId="5" fillId="0" borderId="1" xfId="0" applyFont="1" applyBorder="1" applyAlignment="1">
      <alignment vertical="center" wrapText="1"/>
    </xf>
    <xf numFmtId="0" fontId="5" fillId="0" borderId="1" xfId="0" applyFont="1" applyBorder="1" applyAlignment="1">
      <alignment wrapText="1"/>
    </xf>
    <xf numFmtId="6" fontId="2" fillId="10" borderId="1" xfId="0" applyNumberFormat="1" applyFont="1" applyFill="1" applyBorder="1" applyAlignment="1">
      <alignment horizontal="center" vertical="center" wrapText="1"/>
    </xf>
    <xf numFmtId="0" fontId="5" fillId="14" borderId="7" xfId="0" applyFont="1" applyFill="1" applyBorder="1" applyAlignment="1">
      <alignment horizontal="center" vertical="center"/>
    </xf>
    <xf numFmtId="167" fontId="7" fillId="14" borderId="1" xfId="0" applyNumberFormat="1" applyFont="1" applyFill="1" applyBorder="1" applyAlignment="1">
      <alignment horizontal="center" vertical="center" wrapText="1"/>
    </xf>
    <xf numFmtId="166" fontId="7" fillId="14" borderId="1" xfId="3" applyNumberFormat="1" applyFont="1" applyFill="1" applyBorder="1" applyAlignment="1">
      <alignment horizontal="center" vertical="center" wrapText="1"/>
    </xf>
    <xf numFmtId="9" fontId="2" fillId="14" borderId="1" xfId="4" applyFont="1" applyFill="1" applyBorder="1" applyAlignment="1">
      <alignment horizontal="center" vertical="center"/>
    </xf>
    <xf numFmtId="0" fontId="5" fillId="5" borderId="7" xfId="0" applyFont="1" applyFill="1" applyBorder="1" applyAlignment="1">
      <alignment horizontal="center" vertical="center"/>
    </xf>
    <xf numFmtId="167" fontId="7" fillId="5" borderId="1" xfId="0" applyNumberFormat="1" applyFont="1" applyFill="1" applyBorder="1" applyAlignment="1">
      <alignment horizontal="center" vertical="center" wrapText="1"/>
    </xf>
    <xf numFmtId="166" fontId="7" fillId="5" borderId="1" xfId="3" applyNumberFormat="1" applyFont="1" applyFill="1" applyBorder="1" applyAlignment="1">
      <alignment horizontal="center" vertical="center" wrapText="1"/>
    </xf>
    <xf numFmtId="164" fontId="2" fillId="5" borderId="1" xfId="0" applyNumberFormat="1" applyFont="1" applyFill="1" applyBorder="1" applyAlignment="1">
      <alignment horizontal="center" vertical="center"/>
    </xf>
    <xf numFmtId="164" fontId="7" fillId="5" borderId="1" xfId="0" applyNumberFormat="1" applyFont="1" applyFill="1" applyBorder="1" applyAlignment="1">
      <alignment horizontal="center" vertical="center"/>
    </xf>
    <xf numFmtId="164" fontId="7" fillId="5" borderId="1" xfId="3" applyNumberFormat="1" applyFont="1" applyFill="1" applyBorder="1" applyAlignment="1">
      <alignment horizontal="center" vertical="center"/>
    </xf>
    <xf numFmtId="167" fontId="7" fillId="15" borderId="1" xfId="0" applyNumberFormat="1" applyFont="1" applyFill="1" applyBorder="1" applyAlignment="1">
      <alignment horizontal="center" vertical="center" wrapText="1"/>
    </xf>
    <xf numFmtId="166" fontId="7" fillId="15" borderId="1" xfId="3" applyNumberFormat="1" applyFont="1" applyFill="1" applyBorder="1" applyAlignment="1">
      <alignment horizontal="center" vertical="center" wrapText="1"/>
    </xf>
    <xf numFmtId="165" fontId="2" fillId="5" borderId="1" xfId="3" applyNumberFormat="1" applyFont="1" applyFill="1" applyBorder="1" applyAlignment="1">
      <alignment horizontal="center" vertical="center" wrapText="1"/>
    </xf>
    <xf numFmtId="9" fontId="5" fillId="14" borderId="7" xfId="0" applyNumberFormat="1" applyFont="1" applyFill="1" applyBorder="1" applyAlignment="1">
      <alignment horizontal="center" vertical="center"/>
    </xf>
    <xf numFmtId="164" fontId="2" fillId="0" borderId="0" xfId="0" applyNumberFormat="1" applyFont="1"/>
    <xf numFmtId="0" fontId="5" fillId="0" borderId="2" xfId="0" applyFont="1" applyBorder="1" applyAlignment="1">
      <alignment horizontal="center" vertical="center"/>
    </xf>
    <xf numFmtId="44" fontId="3" fillId="11" borderId="1" xfId="0" applyNumberFormat="1" applyFont="1" applyFill="1" applyBorder="1" applyAlignment="1">
      <alignment horizontal="center" vertical="center"/>
    </xf>
    <xf numFmtId="164" fontId="3" fillId="11" borderId="1" xfId="0" applyNumberFormat="1" applyFont="1" applyFill="1" applyBorder="1" applyAlignment="1">
      <alignment horizontal="center" vertical="center"/>
    </xf>
    <xf numFmtId="9" fontId="3" fillId="11" borderId="1" xfId="4" applyFont="1" applyFill="1" applyBorder="1" applyAlignment="1">
      <alignment horizontal="center" vertical="center"/>
    </xf>
    <xf numFmtId="166" fontId="3" fillId="11" borderId="1" xfId="3" applyNumberFormat="1" applyFont="1" applyFill="1" applyBorder="1" applyAlignment="1">
      <alignment horizontal="center" vertical="center"/>
    </xf>
    <xf numFmtId="0" fontId="3" fillId="11" borderId="1" xfId="0" applyFont="1" applyFill="1" applyBorder="1" applyAlignment="1">
      <alignment horizontal="center" vertical="center" wrapText="1"/>
    </xf>
    <xf numFmtId="0" fontId="4" fillId="0" borderId="0" xfId="0" applyFont="1"/>
    <xf numFmtId="3" fontId="4" fillId="0" borderId="0" xfId="0" applyNumberFormat="1" applyFont="1" applyAlignment="1">
      <alignment horizontal="center" vertical="center"/>
    </xf>
    <xf numFmtId="0" fontId="2" fillId="0" borderId="0" xfId="0" applyFont="1" applyAlignment="1">
      <alignment vertical="center"/>
    </xf>
    <xf numFmtId="6" fontId="2" fillId="0" borderId="0" xfId="0" applyNumberFormat="1" applyFont="1" applyAlignment="1">
      <alignment horizontal="center" vertical="center"/>
    </xf>
    <xf numFmtId="164" fontId="7" fillId="0" borderId="1" xfId="0" applyNumberFormat="1" applyFont="1" applyBorder="1" applyAlignment="1">
      <alignment horizontal="center" vertical="center"/>
    </xf>
    <xf numFmtId="164" fontId="7" fillId="0" borderId="1" xfId="3" applyNumberFormat="1" applyFont="1" applyFill="1" applyBorder="1" applyAlignment="1">
      <alignment horizontal="center" vertical="center"/>
    </xf>
    <xf numFmtId="6" fontId="7" fillId="0" borderId="1" xfId="0" applyNumberFormat="1" applyFont="1" applyBorder="1" applyAlignment="1">
      <alignment horizontal="center" vertical="center"/>
    </xf>
    <xf numFmtId="166" fontId="7" fillId="0" borderId="1" xfId="3" applyNumberFormat="1" applyFont="1" applyFill="1" applyBorder="1" applyAlignment="1">
      <alignment horizontal="center" vertical="center"/>
    </xf>
    <xf numFmtId="0" fontId="6" fillId="3" borderId="7" xfId="0" applyFont="1" applyFill="1" applyBorder="1" applyAlignment="1">
      <alignment vertical="center" wrapText="1"/>
    </xf>
    <xf numFmtId="0" fontId="6" fillId="3" borderId="8" xfId="0" applyFont="1" applyFill="1" applyBorder="1" applyAlignment="1">
      <alignment vertical="center" wrapText="1"/>
    </xf>
    <xf numFmtId="0" fontId="6" fillId="3" borderId="9" xfId="0" applyFont="1" applyFill="1" applyBorder="1" applyAlignment="1">
      <alignment vertical="center" wrapText="1"/>
    </xf>
    <xf numFmtId="0" fontId="6" fillId="3" borderId="7" xfId="0" applyFont="1" applyFill="1" applyBorder="1" applyAlignment="1">
      <alignment vertical="center"/>
    </xf>
    <xf numFmtId="0" fontId="6" fillId="3" borderId="8" xfId="0" applyFont="1" applyFill="1" applyBorder="1" applyAlignment="1">
      <alignment vertical="center"/>
    </xf>
    <xf numFmtId="0" fontId="6" fillId="3" borderId="9" xfId="0" applyFont="1" applyFill="1" applyBorder="1" applyAlignment="1">
      <alignment vertical="center"/>
    </xf>
    <xf numFmtId="166" fontId="2" fillId="0" borderId="10" xfId="3" applyNumberFormat="1" applyFont="1" applyFill="1" applyBorder="1" applyAlignment="1">
      <alignment horizontal="center" vertical="center"/>
    </xf>
    <xf numFmtId="0" fontId="5" fillId="5" borderId="9" xfId="0" applyFont="1" applyFill="1" applyBorder="1" applyAlignment="1">
      <alignment horizontal="center" vertical="center" wrapText="1"/>
    </xf>
    <xf numFmtId="165" fontId="4" fillId="17" borderId="1" xfId="0" applyNumberFormat="1" applyFont="1" applyFill="1" applyBorder="1" applyAlignment="1">
      <alignment horizontal="center" vertical="center" wrapText="1"/>
    </xf>
    <xf numFmtId="9" fontId="4" fillId="17" borderId="1" xfId="4" applyFont="1" applyFill="1" applyBorder="1" applyAlignment="1">
      <alignment horizontal="center" vertical="center" wrapText="1"/>
    </xf>
    <xf numFmtId="164" fontId="4" fillId="18" borderId="1" xfId="0" applyNumberFormat="1" applyFont="1" applyFill="1" applyBorder="1" applyAlignment="1">
      <alignment horizontal="center" vertical="center" wrapText="1"/>
    </xf>
    <xf numFmtId="164" fontId="5" fillId="0" borderId="1" xfId="3" applyNumberFormat="1" applyFont="1" applyFill="1" applyBorder="1" applyAlignment="1">
      <alignment horizontal="center" vertical="center"/>
    </xf>
    <xf numFmtId="166" fontId="2" fillId="0" borderId="1" xfId="3" applyNumberFormat="1" applyFont="1" applyFill="1" applyBorder="1" applyAlignment="1">
      <alignment vertical="center"/>
    </xf>
    <xf numFmtId="164" fontId="2" fillId="0" borderId="1" xfId="3" applyNumberFormat="1" applyFont="1" applyFill="1" applyBorder="1" applyAlignment="1">
      <alignment vertical="center"/>
    </xf>
    <xf numFmtId="6" fontId="2" fillId="0" borderId="18" xfId="0" applyNumberFormat="1" applyFont="1" applyBorder="1" applyAlignment="1">
      <alignment horizontal="right" vertical="center" wrapText="1"/>
    </xf>
    <xf numFmtId="6" fontId="2" fillId="0" borderId="19" xfId="0" applyNumberFormat="1" applyFont="1" applyBorder="1" applyAlignment="1">
      <alignment horizontal="right" vertical="center" wrapText="1"/>
    </xf>
    <xf numFmtId="6" fontId="7" fillId="5" borderId="1" xfId="0" applyNumberFormat="1" applyFont="1" applyFill="1" applyBorder="1" applyAlignment="1">
      <alignment horizontal="center" vertical="center"/>
    </xf>
    <xf numFmtId="0" fontId="2" fillId="5" borderId="1" xfId="0" applyFont="1" applyFill="1" applyBorder="1" applyAlignment="1">
      <alignment wrapText="1"/>
    </xf>
    <xf numFmtId="166" fontId="2" fillId="5" borderId="0" xfId="3" applyNumberFormat="1" applyFont="1" applyFill="1" applyAlignment="1">
      <alignment horizontal="center" vertical="center"/>
    </xf>
    <xf numFmtId="166" fontId="2" fillId="5" borderId="1" xfId="3" applyNumberFormat="1" applyFont="1" applyFill="1" applyBorder="1" applyAlignment="1">
      <alignment horizontal="center" vertical="center" wrapText="1"/>
    </xf>
    <xf numFmtId="166" fontId="5" fillId="3" borderId="1" xfId="3" applyNumberFormat="1" applyFont="1" applyFill="1" applyBorder="1" applyAlignment="1">
      <alignment horizontal="center" vertical="center" wrapText="1"/>
    </xf>
    <xf numFmtId="166" fontId="5" fillId="4" borderId="1" xfId="3" applyNumberFormat="1" applyFont="1" applyFill="1" applyBorder="1" applyAlignment="1">
      <alignment horizontal="center" vertical="center" wrapText="1"/>
    </xf>
    <xf numFmtId="166" fontId="2" fillId="14" borderId="1" xfId="3" applyNumberFormat="1" applyFont="1" applyFill="1" applyBorder="1" applyAlignment="1">
      <alignment horizontal="center" vertical="center" wrapText="1"/>
    </xf>
    <xf numFmtId="166" fontId="2" fillId="15" borderId="1" xfId="3" applyNumberFormat="1" applyFont="1" applyFill="1" applyBorder="1" applyAlignment="1">
      <alignment horizontal="center" vertical="center" wrapText="1"/>
    </xf>
    <xf numFmtId="0" fontId="5" fillId="5" borderId="1" xfId="0" applyFont="1" applyFill="1" applyBorder="1" applyAlignment="1">
      <alignment vertical="center" wrapText="1"/>
    </xf>
    <xf numFmtId="165" fontId="4" fillId="17" borderId="9" xfId="0" applyNumberFormat="1" applyFont="1" applyFill="1" applyBorder="1" applyAlignment="1">
      <alignment horizontal="center" vertical="center" wrapText="1"/>
    </xf>
    <xf numFmtId="166" fontId="0" fillId="0" borderId="1" xfId="3" applyNumberFormat="1" applyFont="1" applyBorder="1" applyAlignment="1">
      <alignment horizontal="center" vertical="center"/>
    </xf>
    <xf numFmtId="164" fontId="4" fillId="14" borderId="1" xfId="0" applyNumberFormat="1" applyFont="1" applyFill="1" applyBorder="1" applyAlignment="1">
      <alignment horizontal="center" vertical="center" wrapText="1"/>
    </xf>
    <xf numFmtId="164" fontId="4" fillId="20" borderId="1" xfId="0" applyNumberFormat="1" applyFont="1" applyFill="1" applyBorder="1" applyAlignment="1">
      <alignment horizontal="center" vertical="center" wrapText="1"/>
    </xf>
    <xf numFmtId="0" fontId="4" fillId="20" borderId="1" xfId="0" applyFont="1" applyFill="1" applyBorder="1" applyAlignment="1">
      <alignment horizontal="center" vertical="center" wrapText="1"/>
    </xf>
    <xf numFmtId="166" fontId="4" fillId="14" borderId="1" xfId="3" applyNumberFormat="1" applyFont="1" applyFill="1" applyBorder="1" applyAlignment="1">
      <alignment horizontal="center" vertical="center" wrapText="1"/>
    </xf>
    <xf numFmtId="0" fontId="9" fillId="5" borderId="0" xfId="0" applyFont="1" applyFill="1" applyAlignment="1">
      <alignment horizontal="center" wrapText="1"/>
    </xf>
    <xf numFmtId="166" fontId="2" fillId="0" borderId="0" xfId="3" applyNumberFormat="1" applyFont="1" applyAlignment="1">
      <alignment vertical="center"/>
    </xf>
    <xf numFmtId="166" fontId="7" fillId="0" borderId="1" xfId="3" applyNumberFormat="1" applyFont="1" applyBorder="1" applyAlignment="1">
      <alignment vertical="center" wrapText="1"/>
    </xf>
    <xf numFmtId="166" fontId="2" fillId="5" borderId="1" xfId="3" applyNumberFormat="1" applyFont="1" applyFill="1" applyBorder="1" applyAlignment="1">
      <alignment vertical="center"/>
    </xf>
    <xf numFmtId="0" fontId="2" fillId="5" borderId="1" xfId="2" applyFont="1" applyFill="1" applyBorder="1" applyAlignment="1">
      <alignment vertical="center" wrapText="1"/>
    </xf>
    <xf numFmtId="0" fontId="2" fillId="14" borderId="1" xfId="0" applyFont="1" applyFill="1" applyBorder="1" applyAlignment="1">
      <alignment vertical="center" wrapText="1"/>
    </xf>
    <xf numFmtId="0" fontId="2" fillId="5" borderId="1" xfId="0" applyFont="1" applyFill="1" applyBorder="1" applyAlignment="1">
      <alignment vertical="center" wrapText="1"/>
    </xf>
    <xf numFmtId="0" fontId="2" fillId="0" borderId="11" xfId="0" applyFont="1" applyBorder="1" applyAlignment="1">
      <alignment vertical="center" wrapText="1"/>
    </xf>
    <xf numFmtId="0" fontId="2" fillId="0" borderId="1" xfId="2" applyFont="1" applyBorder="1" applyAlignment="1">
      <alignment vertical="center" wrapText="1"/>
    </xf>
    <xf numFmtId="0" fontId="2" fillId="0" borderId="0" xfId="0" applyFont="1" applyAlignment="1">
      <alignment vertical="center" wrapText="1"/>
    </xf>
    <xf numFmtId="0" fontId="5" fillId="5" borderId="0" xfId="0" applyFont="1" applyFill="1" applyAlignment="1">
      <alignment wrapText="1"/>
    </xf>
    <xf numFmtId="164" fontId="2" fillId="5" borderId="1" xfId="3" applyNumberFormat="1" applyFont="1" applyFill="1" applyBorder="1" applyAlignment="1">
      <alignment vertical="center"/>
    </xf>
    <xf numFmtId="164" fontId="6" fillId="5" borderId="17" xfId="3" applyNumberFormat="1" applyFont="1" applyFill="1" applyBorder="1" applyAlignment="1">
      <alignment horizontal="center" vertical="center" wrapText="1"/>
    </xf>
    <xf numFmtId="0" fontId="6" fillId="2" borderId="7" xfId="0" applyFont="1" applyFill="1" applyBorder="1" applyAlignment="1">
      <alignment horizontal="center" vertical="center" wrapText="1"/>
    </xf>
    <xf numFmtId="0" fontId="13" fillId="0" borderId="0" xfId="0" applyFont="1"/>
    <xf numFmtId="0" fontId="14" fillId="2" borderId="10" xfId="0" applyFont="1" applyFill="1" applyBorder="1" applyAlignment="1">
      <alignment horizontal="center" vertical="center" wrapText="1"/>
    </xf>
    <xf numFmtId="0" fontId="14" fillId="9" borderId="10"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17" xfId="0" applyFont="1" applyFill="1" applyBorder="1" applyAlignment="1">
      <alignment horizontal="center" vertical="center" wrapText="1"/>
    </xf>
    <xf numFmtId="166" fontId="14" fillId="9" borderId="17" xfId="3" applyNumberFormat="1" applyFont="1" applyFill="1" applyBorder="1" applyAlignment="1">
      <alignment horizontal="center" vertical="center" wrapText="1"/>
    </xf>
    <xf numFmtId="166" fontId="14" fillId="9" borderId="12" xfId="3" applyNumberFormat="1" applyFont="1" applyFill="1" applyBorder="1" applyAlignment="1">
      <alignment horizontal="center" vertical="center" wrapText="1"/>
    </xf>
    <xf numFmtId="168" fontId="14" fillId="9" borderId="12" xfId="3" applyNumberFormat="1" applyFont="1" applyFill="1" applyBorder="1" applyAlignment="1">
      <alignment horizontal="center" vertical="center" wrapText="1"/>
    </xf>
    <xf numFmtId="44" fontId="14" fillId="9" borderId="12" xfId="3" applyFont="1" applyFill="1" applyBorder="1" applyAlignment="1">
      <alignment horizontal="center" vertical="center" wrapText="1"/>
    </xf>
    <xf numFmtId="165" fontId="15" fillId="17" borderId="1" xfId="0" applyNumberFormat="1" applyFont="1" applyFill="1" applyBorder="1" applyAlignment="1">
      <alignment horizontal="center" vertical="center" wrapText="1"/>
    </xf>
    <xf numFmtId="9" fontId="15" fillId="17" borderId="1" xfId="4" applyFont="1" applyFill="1" applyBorder="1" applyAlignment="1">
      <alignment horizontal="center" vertical="center" wrapText="1"/>
    </xf>
    <xf numFmtId="164" fontId="15" fillId="18" borderId="1" xfId="0" applyNumberFormat="1" applyFont="1" applyFill="1" applyBorder="1" applyAlignment="1">
      <alignment horizontal="center" vertical="center" wrapText="1"/>
    </xf>
    <xf numFmtId="167" fontId="15" fillId="18" borderId="1" xfId="0" applyNumberFormat="1" applyFont="1" applyFill="1" applyBorder="1" applyAlignment="1">
      <alignment horizontal="center" vertical="center" wrapText="1"/>
    </xf>
    <xf numFmtId="0" fontId="16" fillId="0" borderId="20" xfId="0" applyFont="1" applyBorder="1" applyAlignment="1">
      <alignment horizontal="center" vertical="center" wrapText="1"/>
    </xf>
    <xf numFmtId="0" fontId="12" fillId="0" borderId="20" xfId="0" applyFont="1" applyBorder="1" applyAlignment="1">
      <alignment horizontal="center" vertical="center" wrapText="1"/>
    </xf>
    <xf numFmtId="0" fontId="17" fillId="0" borderId="20" xfId="0" applyFont="1" applyBorder="1" applyAlignment="1">
      <alignment horizontal="left" vertical="center" wrapText="1"/>
    </xf>
    <xf numFmtId="166" fontId="16" fillId="0" borderId="20" xfId="3" applyNumberFormat="1" applyFont="1" applyBorder="1" applyAlignment="1">
      <alignment horizontal="center" vertical="center" wrapText="1"/>
    </xf>
    <xf numFmtId="166" fontId="17" fillId="0" borderId="22" xfId="3" applyNumberFormat="1" applyFont="1" applyBorder="1" applyAlignment="1">
      <alignment horizontal="right" vertical="center"/>
    </xf>
    <xf numFmtId="166" fontId="17" fillId="0" borderId="1" xfId="3" applyNumberFormat="1" applyFont="1" applyBorder="1" applyAlignment="1">
      <alignment horizontal="center" vertical="center"/>
    </xf>
    <xf numFmtId="166" fontId="17" fillId="0" borderId="1" xfId="3" applyNumberFormat="1" applyFont="1" applyBorder="1" applyAlignment="1">
      <alignment horizontal="right" vertical="center" wrapText="1"/>
    </xf>
    <xf numFmtId="166" fontId="17" fillId="0" borderId="1" xfId="3" applyNumberFormat="1" applyFont="1" applyBorder="1" applyAlignment="1">
      <alignment horizontal="right" vertical="center"/>
    </xf>
    <xf numFmtId="164" fontId="13" fillId="7" borderId="1" xfId="0" applyNumberFormat="1" applyFont="1" applyFill="1" applyBorder="1" applyAlignment="1">
      <alignment horizontal="center" vertical="center"/>
    </xf>
    <xf numFmtId="9" fontId="13" fillId="0" borderId="1" xfId="4" applyFont="1" applyFill="1" applyBorder="1" applyAlignment="1">
      <alignment horizontal="center" vertical="center"/>
    </xf>
    <xf numFmtId="164" fontId="17" fillId="0" borderId="10" xfId="0" applyNumberFormat="1" applyFont="1" applyBorder="1" applyAlignment="1">
      <alignment horizontal="center" vertical="center"/>
    </xf>
    <xf numFmtId="164" fontId="17" fillId="22" borderId="1" xfId="3" applyNumberFormat="1" applyFont="1" applyFill="1" applyBorder="1" applyAlignment="1">
      <alignment horizontal="center" vertical="center"/>
    </xf>
    <xf numFmtId="0" fontId="13" fillId="0" borderId="1" xfId="0" applyFont="1" applyBorder="1" applyAlignment="1">
      <alignment horizontal="center" vertical="center" wrapText="1"/>
    </xf>
    <xf numFmtId="168" fontId="17" fillId="0" borderId="1" xfId="3" applyNumberFormat="1" applyFont="1" applyBorder="1" applyAlignment="1">
      <alignment horizontal="center" vertical="center"/>
    </xf>
    <xf numFmtId="166" fontId="16" fillId="0" borderId="20" xfId="3" applyNumberFormat="1" applyFont="1" applyBorder="1" applyAlignment="1">
      <alignment horizontal="center" vertical="center"/>
    </xf>
    <xf numFmtId="0" fontId="17" fillId="0" borderId="20" xfId="0" applyFont="1" applyBorder="1" applyAlignment="1">
      <alignment horizontal="center" vertical="center" wrapText="1"/>
    </xf>
    <xf numFmtId="6" fontId="0" fillId="0" borderId="1" xfId="0" applyNumberFormat="1" applyBorder="1" applyAlignment="1">
      <alignment horizontal="center" vertical="center"/>
    </xf>
    <xf numFmtId="166" fontId="17" fillId="0" borderId="23" xfId="3" applyNumberFormat="1" applyFont="1" applyBorder="1" applyAlignment="1">
      <alignment horizontal="right" vertical="center"/>
    </xf>
    <xf numFmtId="166" fontId="16" fillId="0" borderId="22" xfId="3" applyNumberFormat="1" applyFont="1" applyBorder="1" applyAlignment="1">
      <alignment horizontal="center" vertical="center"/>
    </xf>
    <xf numFmtId="168" fontId="0" fillId="0" borderId="1" xfId="3" applyNumberFormat="1" applyFont="1" applyBorder="1" applyAlignment="1">
      <alignment horizontal="center" vertical="center"/>
    </xf>
    <xf numFmtId="166" fontId="0" fillId="0" borderId="1" xfId="3" applyNumberFormat="1" applyFont="1" applyBorder="1"/>
    <xf numFmtId="0" fontId="0" fillId="0" borderId="1" xfId="0" applyBorder="1" applyAlignment="1">
      <alignment horizontal="center" wrapText="1"/>
    </xf>
    <xf numFmtId="0" fontId="13" fillId="0" borderId="0" xfId="0" applyFont="1" applyAlignment="1">
      <alignment horizontal="left" wrapText="1"/>
    </xf>
    <xf numFmtId="166" fontId="13" fillId="0" borderId="0" xfId="3" applyNumberFormat="1" applyFont="1" applyAlignment="1">
      <alignment horizontal="center" vertical="center"/>
    </xf>
    <xf numFmtId="166" fontId="13" fillId="0" borderId="0" xfId="3" applyNumberFormat="1" applyFont="1"/>
    <xf numFmtId="168" fontId="13" fillId="0" borderId="0" xfId="3" applyNumberFormat="1" applyFont="1" applyAlignment="1">
      <alignment horizontal="center" vertical="center"/>
    </xf>
    <xf numFmtId="166" fontId="8" fillId="5" borderId="1" xfId="3" applyNumberFormat="1" applyFont="1" applyFill="1" applyBorder="1" applyAlignment="1">
      <alignment horizontal="center" vertical="center"/>
    </xf>
    <xf numFmtId="6" fontId="2" fillId="0" borderId="0" xfId="0" applyNumberFormat="1" applyFont="1" applyAlignment="1">
      <alignment vertical="center"/>
    </xf>
    <xf numFmtId="0" fontId="15" fillId="11" borderId="6" xfId="0" applyFont="1" applyFill="1" applyBorder="1" applyAlignment="1">
      <alignment horizontal="center" vertical="center"/>
    </xf>
    <xf numFmtId="166" fontId="13" fillId="11" borderId="11" xfId="3" applyNumberFormat="1" applyFont="1" applyFill="1" applyBorder="1" applyAlignment="1">
      <alignment horizontal="center" vertical="center"/>
    </xf>
    <xf numFmtId="166" fontId="13" fillId="11" borderId="1" xfId="0" applyNumberFormat="1" applyFont="1" applyFill="1" applyBorder="1" applyAlignment="1">
      <alignment vertical="center"/>
    </xf>
    <xf numFmtId="166" fontId="13" fillId="11" borderId="1" xfId="0" applyNumberFormat="1" applyFont="1" applyFill="1" applyBorder="1" applyAlignment="1">
      <alignment horizontal="center" vertical="center"/>
    </xf>
    <xf numFmtId="0" fontId="13" fillId="11" borderId="1" xfId="0" applyFont="1" applyFill="1" applyBorder="1" applyAlignment="1">
      <alignment horizontal="center" vertical="center"/>
    </xf>
    <xf numFmtId="164" fontId="2" fillId="0" borderId="0" xfId="0" applyNumberFormat="1" applyFont="1" applyAlignment="1">
      <alignment horizontal="center" vertical="center"/>
    </xf>
    <xf numFmtId="166" fontId="3" fillId="19" borderId="1" xfId="3" applyNumberFormat="1" applyFont="1" applyFill="1" applyBorder="1" applyAlignment="1">
      <alignment horizontal="center" vertical="center" wrapText="1"/>
    </xf>
    <xf numFmtId="0" fontId="4" fillId="20" borderId="8" xfId="0" applyFont="1" applyFill="1" applyBorder="1" applyAlignment="1">
      <alignment horizontal="center" vertical="center" wrapText="1"/>
    </xf>
    <xf numFmtId="164" fontId="2" fillId="5" borderId="11" xfId="0" applyNumberFormat="1" applyFont="1" applyFill="1" applyBorder="1" applyAlignment="1">
      <alignment horizontal="center" vertical="center"/>
    </xf>
    <xf numFmtId="166" fontId="5" fillId="0" borderId="1" xfId="3" applyNumberFormat="1" applyFont="1" applyFill="1" applyBorder="1" applyAlignment="1">
      <alignment horizontal="center" vertical="center"/>
    </xf>
    <xf numFmtId="166" fontId="2" fillId="5" borderId="1" xfId="6" applyNumberFormat="1" applyFont="1" applyFill="1" applyBorder="1" applyAlignment="1">
      <alignment horizontal="center" vertical="center"/>
    </xf>
    <xf numFmtId="164" fontId="5" fillId="0" borderId="1" xfId="3" applyNumberFormat="1" applyFont="1" applyFill="1" applyBorder="1" applyAlignment="1">
      <alignment horizontal="right" vertical="center"/>
    </xf>
    <xf numFmtId="0" fontId="5" fillId="0" borderId="20" xfId="0" applyFont="1" applyBorder="1" applyAlignment="1">
      <alignment horizontal="left" vertical="center" wrapText="1"/>
    </xf>
    <xf numFmtId="6" fontId="5" fillId="0" borderId="20" xfId="0" applyNumberFormat="1" applyFont="1" applyBorder="1" applyAlignment="1">
      <alignment horizontal="center" vertical="center"/>
    </xf>
    <xf numFmtId="6" fontId="5" fillId="0" borderId="20" xfId="0" applyNumberFormat="1" applyFont="1" applyBorder="1" applyAlignment="1">
      <alignment horizontal="center" vertical="center" wrapText="1" readingOrder="1"/>
    </xf>
    <xf numFmtId="0" fontId="5" fillId="0" borderId="0" xfId="0" applyFont="1" applyAlignment="1">
      <alignment wrapText="1"/>
    </xf>
    <xf numFmtId="6" fontId="2" fillId="0" borderId="18" xfId="0" applyNumberFormat="1" applyFont="1" applyBorder="1" applyAlignment="1">
      <alignment horizontal="center" vertical="center" wrapText="1"/>
    </xf>
    <xf numFmtId="6" fontId="2" fillId="0" borderId="19" xfId="0" applyNumberFormat="1" applyFont="1" applyBorder="1" applyAlignment="1">
      <alignment horizontal="center" vertical="center" wrapText="1"/>
    </xf>
    <xf numFmtId="6" fontId="2" fillId="0" borderId="0" xfId="0" applyNumberFormat="1" applyFont="1"/>
    <xf numFmtId="0" fontId="4" fillId="8" borderId="7" xfId="0" applyFont="1" applyFill="1" applyBorder="1" applyAlignment="1">
      <alignment horizontal="center" vertical="center" wrapText="1"/>
    </xf>
    <xf numFmtId="166" fontId="6" fillId="15" borderId="1" xfId="3" applyNumberFormat="1" applyFont="1" applyFill="1" applyBorder="1" applyAlignment="1">
      <alignment horizontal="center" vertical="center" wrapText="1"/>
    </xf>
    <xf numFmtId="166" fontId="6" fillId="0" borderId="1" xfId="3" applyNumberFormat="1" applyFont="1" applyBorder="1" applyAlignment="1">
      <alignment horizontal="center" vertical="center" wrapText="1"/>
    </xf>
    <xf numFmtId="166" fontId="5" fillId="13" borderId="1" xfId="3" applyNumberFormat="1" applyFont="1" applyFill="1" applyBorder="1" applyAlignment="1">
      <alignment horizontal="center" vertical="center"/>
    </xf>
    <xf numFmtId="166" fontId="7" fillId="0" borderId="1" xfId="3" applyNumberFormat="1" applyFont="1" applyBorder="1" applyAlignment="1">
      <alignment horizontal="center" vertical="center"/>
    </xf>
    <xf numFmtId="166" fontId="2" fillId="0" borderId="0" xfId="0" applyNumberFormat="1" applyFont="1" applyAlignment="1">
      <alignment vertical="center"/>
    </xf>
    <xf numFmtId="0" fontId="2" fillId="5" borderId="1" xfId="0" applyFont="1" applyFill="1" applyBorder="1" applyAlignment="1">
      <alignment horizontal="left" vertical="center" wrapText="1"/>
    </xf>
    <xf numFmtId="0" fontId="2" fillId="0" borderId="1" xfId="0" applyFont="1" applyBorder="1" applyAlignment="1">
      <alignment horizontal="left" vertical="center" wrapText="1"/>
    </xf>
    <xf numFmtId="0" fontId="6" fillId="2" borderId="1" xfId="0" applyFont="1" applyFill="1" applyBorder="1" applyAlignment="1">
      <alignment vertical="center" wrapText="1"/>
    </xf>
    <xf numFmtId="0" fontId="2" fillId="14" borderId="1" xfId="2" applyFont="1" applyFill="1" applyBorder="1" applyAlignment="1">
      <alignment vertical="center" wrapText="1"/>
    </xf>
    <xf numFmtId="0" fontId="5" fillId="5" borderId="11" xfId="0" applyFont="1" applyFill="1" applyBorder="1" applyAlignment="1">
      <alignment vertical="center" wrapText="1"/>
    </xf>
    <xf numFmtId="0" fontId="2" fillId="0" borderId="11" xfId="2" applyFont="1" applyBorder="1" applyAlignment="1">
      <alignment vertical="center" wrapText="1"/>
    </xf>
    <xf numFmtId="0" fontId="7" fillId="0" borderId="1" xfId="2" applyFont="1" applyBorder="1" applyAlignment="1">
      <alignment vertical="center" wrapText="1"/>
    </xf>
    <xf numFmtId="0" fontId="5" fillId="0" borderId="20" xfId="0" applyFont="1" applyBorder="1" applyAlignment="1">
      <alignment vertical="center" wrapText="1"/>
    </xf>
    <xf numFmtId="0" fontId="2" fillId="0" borderId="10" xfId="2" applyFont="1" applyBorder="1" applyAlignment="1">
      <alignment vertical="center" wrapText="1"/>
    </xf>
    <xf numFmtId="0" fontId="19" fillId="5" borderId="1" xfId="0" applyFont="1" applyFill="1" applyBorder="1" applyAlignment="1">
      <alignment horizontal="center" vertical="center" wrapText="1"/>
    </xf>
    <xf numFmtId="169" fontId="2" fillId="0" borderId="0" xfId="0" applyNumberFormat="1" applyFont="1" applyAlignment="1">
      <alignment vertical="center"/>
    </xf>
    <xf numFmtId="44" fontId="2" fillId="0" borderId="0" xfId="3" applyFont="1"/>
    <xf numFmtId="170" fontId="2" fillId="0" borderId="0" xfId="0" applyNumberFormat="1" applyFont="1" applyAlignment="1">
      <alignment vertical="center"/>
    </xf>
    <xf numFmtId="171" fontId="2" fillId="0" borderId="0" xfId="4" applyNumberFormat="1" applyFont="1" applyAlignment="1">
      <alignment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3" fillId="9" borderId="5" xfId="0" applyFont="1" applyFill="1" applyBorder="1" applyAlignment="1">
      <alignment horizontal="center" vertical="center"/>
    </xf>
    <xf numFmtId="0" fontId="3" fillId="9" borderId="3" xfId="0" applyFont="1" applyFill="1" applyBorder="1" applyAlignment="1">
      <alignment horizontal="center" vertical="center"/>
    </xf>
    <xf numFmtId="0" fontId="3" fillId="11" borderId="11" xfId="0" applyFont="1" applyFill="1" applyBorder="1" applyAlignment="1">
      <alignment horizontal="center" vertical="center"/>
    </xf>
    <xf numFmtId="0" fontId="3" fillId="11" borderId="4" xfId="0" applyFont="1" applyFill="1" applyBorder="1" applyAlignment="1">
      <alignment horizontal="center" vertical="center"/>
    </xf>
    <xf numFmtId="0" fontId="4" fillId="6"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4" fillId="20" borderId="1" xfId="0" applyFont="1" applyFill="1" applyBorder="1" applyAlignment="1">
      <alignment horizontal="center" vertical="center" wrapText="1"/>
    </xf>
    <xf numFmtId="0" fontId="4" fillId="14" borderId="7" xfId="0" applyFont="1" applyFill="1" applyBorder="1" applyAlignment="1">
      <alignment horizontal="center" vertical="center" wrapText="1"/>
    </xf>
    <xf numFmtId="0" fontId="4" fillId="14" borderId="8" xfId="0" applyFont="1" applyFill="1" applyBorder="1" applyAlignment="1">
      <alignment horizontal="center" vertical="center" wrapText="1"/>
    </xf>
    <xf numFmtId="166" fontId="3" fillId="9" borderId="2" xfId="3" applyNumberFormat="1" applyFont="1" applyFill="1" applyBorder="1" applyAlignment="1">
      <alignment horizontal="center" vertical="center"/>
    </xf>
    <xf numFmtId="9" fontId="3" fillId="9" borderId="5" xfId="4" applyFont="1" applyFill="1" applyBorder="1" applyAlignment="1">
      <alignment horizontal="center" vertical="center"/>
    </xf>
    <xf numFmtId="166" fontId="3" fillId="9" borderId="5" xfId="3" applyNumberFormat="1" applyFont="1" applyFill="1" applyBorder="1" applyAlignment="1">
      <alignment horizontal="center" vertical="center"/>
    </xf>
    <xf numFmtId="9" fontId="3" fillId="9" borderId="3" xfId="4" applyFont="1" applyFill="1" applyBorder="1" applyAlignment="1">
      <alignment horizontal="center" vertical="center"/>
    </xf>
    <xf numFmtId="0" fontId="3" fillId="2" borderId="1" xfId="0" applyFont="1" applyFill="1" applyBorder="1" applyAlignment="1">
      <alignment horizontal="center" vertical="center" wrapText="1"/>
    </xf>
    <xf numFmtId="166" fontId="4" fillId="14" borderId="12" xfId="3" applyNumberFormat="1" applyFont="1" applyFill="1" applyBorder="1" applyAlignment="1">
      <alignment horizontal="center" vertical="center" wrapText="1"/>
    </xf>
    <xf numFmtId="166" fontId="4" fillId="14" borderId="4" xfId="3" applyNumberFormat="1" applyFont="1" applyFill="1" applyBorder="1" applyAlignment="1">
      <alignment horizontal="center" vertical="center" wrapText="1"/>
    </xf>
    <xf numFmtId="0" fontId="4" fillId="5" borderId="0" xfId="0" applyFont="1" applyFill="1" applyAlignment="1">
      <alignment horizontal="center"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5" fontId="4" fillId="14" borderId="1" xfId="0" applyNumberFormat="1" applyFont="1" applyFill="1" applyBorder="1" applyAlignment="1">
      <alignment horizontal="center" vertical="center" wrapText="1" readingOrder="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20" borderId="7" xfId="0" applyFont="1" applyFill="1" applyBorder="1" applyAlignment="1">
      <alignment horizontal="center" vertical="center" wrapText="1"/>
    </xf>
    <xf numFmtId="0" fontId="4" fillId="20" borderId="8" xfId="0" applyFont="1" applyFill="1" applyBorder="1" applyAlignment="1">
      <alignment horizontal="center" vertical="center" wrapText="1"/>
    </xf>
    <xf numFmtId="0" fontId="4" fillId="20" borderId="9" xfId="0" applyFont="1" applyFill="1" applyBorder="1" applyAlignment="1">
      <alignment horizontal="center" vertical="center" wrapText="1"/>
    </xf>
    <xf numFmtId="164" fontId="4" fillId="20" borderId="1" xfId="0" applyNumberFormat="1" applyFont="1" applyFill="1" applyBorder="1" applyAlignment="1">
      <alignment horizontal="center" vertical="center" wrapText="1"/>
    </xf>
    <xf numFmtId="164" fontId="4" fillId="14" borderId="1" xfId="0" applyNumberFormat="1" applyFont="1" applyFill="1" applyBorder="1" applyAlignment="1">
      <alignment horizontal="center" vertical="center" wrapText="1"/>
    </xf>
    <xf numFmtId="0" fontId="4" fillId="14" borderId="9" xfId="0" applyFont="1" applyFill="1" applyBorder="1" applyAlignment="1">
      <alignment horizontal="center" vertical="center" wrapText="1"/>
    </xf>
    <xf numFmtId="0" fontId="12" fillId="9" borderId="2" xfId="0" applyFont="1" applyFill="1" applyBorder="1" applyAlignment="1">
      <alignment horizontal="center" vertical="center"/>
    </xf>
    <xf numFmtId="0" fontId="12" fillId="9" borderId="5" xfId="0" applyFont="1" applyFill="1" applyBorder="1" applyAlignment="1">
      <alignment horizontal="center" vertical="center"/>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6" xfId="0" applyFont="1" applyFill="1" applyBorder="1" applyAlignment="1">
      <alignment horizontal="center" vertical="center"/>
    </xf>
    <xf numFmtId="0" fontId="12" fillId="9" borderId="21" xfId="0" applyFont="1" applyFill="1" applyBorder="1" applyAlignment="1">
      <alignment horizontal="center" vertical="center"/>
    </xf>
    <xf numFmtId="9" fontId="12" fillId="9" borderId="1" xfId="4" applyFont="1" applyFill="1" applyBorder="1" applyAlignment="1">
      <alignment horizontal="center" vertical="center"/>
    </xf>
    <xf numFmtId="0" fontId="15" fillId="11" borderId="4" xfId="0" applyFont="1" applyFill="1" applyBorder="1" applyAlignment="1">
      <alignment horizontal="center" vertical="center"/>
    </xf>
    <xf numFmtId="0" fontId="15" fillId="11" borderId="6" xfId="0" applyFont="1" applyFill="1" applyBorder="1" applyAlignment="1">
      <alignment horizontal="center" vertical="center"/>
    </xf>
    <xf numFmtId="0" fontId="13" fillId="0" borderId="0" xfId="0" applyFont="1" applyAlignment="1">
      <alignment horizontal="left" wrapText="1"/>
    </xf>
    <xf numFmtId="0" fontId="12" fillId="21" borderId="12" xfId="0" applyFont="1" applyFill="1" applyBorder="1" applyAlignment="1">
      <alignment horizontal="center" vertical="center" wrapText="1"/>
    </xf>
    <xf numFmtId="0" fontId="12" fillId="21" borderId="0" xfId="0" applyFont="1" applyFill="1" applyAlignment="1">
      <alignment horizontal="center" vertical="center" wrapText="1"/>
    </xf>
    <xf numFmtId="166" fontId="14" fillId="23" borderId="10" xfId="3" applyNumberFormat="1" applyFont="1" applyFill="1" applyBorder="1" applyAlignment="1">
      <alignment horizontal="center" vertical="center" wrapText="1"/>
    </xf>
    <xf numFmtId="166" fontId="14" fillId="23" borderId="11" xfId="3" applyNumberFormat="1" applyFont="1" applyFill="1" applyBorder="1" applyAlignment="1">
      <alignment horizontal="center" vertical="center" wrapText="1"/>
    </xf>
    <xf numFmtId="166" fontId="15" fillId="24" borderId="10" xfId="3" applyNumberFormat="1" applyFont="1" applyFill="1" applyBorder="1" applyAlignment="1">
      <alignment horizontal="center" vertical="center" wrapText="1"/>
    </xf>
    <xf numFmtId="166" fontId="15" fillId="24" borderId="11" xfId="3" applyNumberFormat="1" applyFont="1" applyFill="1" applyBorder="1" applyAlignment="1">
      <alignment horizontal="center" vertical="center" wrapText="1"/>
    </xf>
    <xf numFmtId="168" fontId="11" fillId="20" borderId="10" xfId="3" applyNumberFormat="1" applyFont="1" applyFill="1" applyBorder="1" applyAlignment="1">
      <alignment horizontal="center" vertical="center" wrapText="1"/>
    </xf>
    <xf numFmtId="168" fontId="11" fillId="20" borderId="11" xfId="3" applyNumberFormat="1" applyFont="1" applyFill="1" applyBorder="1" applyAlignment="1">
      <alignment horizontal="center" vertical="center" wrapText="1"/>
    </xf>
    <xf numFmtId="166" fontId="11" fillId="24" borderId="10" xfId="3" applyNumberFormat="1" applyFont="1" applyFill="1" applyBorder="1" applyAlignment="1">
      <alignment horizontal="center" vertical="center" wrapText="1"/>
    </xf>
    <xf numFmtId="166" fontId="11" fillId="24" borderId="11" xfId="3" applyNumberFormat="1" applyFont="1" applyFill="1" applyBorder="1" applyAlignment="1">
      <alignment horizontal="center" vertical="center" wrapText="1"/>
    </xf>
    <xf numFmtId="166" fontId="11" fillId="20" borderId="10" xfId="3" applyNumberFormat="1" applyFont="1" applyFill="1" applyBorder="1" applyAlignment="1">
      <alignment horizontal="center" vertical="center" wrapText="1"/>
    </xf>
    <xf numFmtId="166" fontId="11" fillId="20" borderId="11" xfId="3" applyNumberFormat="1" applyFont="1" applyFill="1" applyBorder="1" applyAlignment="1">
      <alignment horizontal="center" vertical="center" wrapText="1"/>
    </xf>
    <xf numFmtId="166" fontId="11" fillId="24" borderId="10" xfId="3" applyNumberFormat="1" applyFont="1" applyFill="1" applyBorder="1" applyAlignment="1">
      <alignment horizontal="center" vertical="center"/>
    </xf>
    <xf numFmtId="166" fontId="11" fillId="24" borderId="11" xfId="3" applyNumberFormat="1" applyFont="1" applyFill="1" applyBorder="1" applyAlignment="1">
      <alignment horizontal="center" vertical="center"/>
    </xf>
  </cellXfs>
  <cellStyles count="7">
    <cellStyle name="Moneda" xfId="3" builtinId="4"/>
    <cellStyle name="Moneda 2" xfId="6" xr:uid="{A6DA2AF0-D258-40F2-AE6F-555F37A2B171}"/>
    <cellStyle name="Moneda 3" xfId="1" xr:uid="{65D8F166-6899-43F1-8D6B-CEB683C21CF8}"/>
    <cellStyle name="Moneda 3 2" xfId="5" xr:uid="{56E9008F-6E16-4CDF-90D0-E2B560E22D3F}"/>
    <cellStyle name="Normal" xfId="0" builtinId="0"/>
    <cellStyle name="Normal 2" xfId="2" xr:uid="{661BAAC2-61DD-4691-96AC-6EC0CBBF0571}"/>
    <cellStyle name="Porcentaje" xfId="4" builtinId="5"/>
  </cellStyles>
  <dxfs count="1">
    <dxf>
      <font>
        <color rgb="FF9C0006"/>
      </font>
      <fill>
        <patternFill>
          <bgColor rgb="FFFFC7CE"/>
        </patternFill>
      </fill>
    </dxf>
  </dxfs>
  <tableStyles count="0" defaultTableStyle="TableStyleMedium2" defaultPivotStyle="PivotStyleLight16"/>
  <colors>
    <mruColors>
      <color rgb="FF3F53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panafargo.com/" TargetMode="External"/></Relationships>
</file>

<file path=xl/drawings/drawing1.xml><?xml version="1.0" encoding="utf-8"?>
<xdr:wsDr xmlns:xdr="http://schemas.openxmlformats.org/drawingml/2006/spreadsheetDrawing" xmlns:a="http://schemas.openxmlformats.org/drawingml/2006/main">
  <xdr:twoCellAnchor editAs="oneCell">
    <xdr:from>
      <xdr:col>113</xdr:col>
      <xdr:colOff>0</xdr:colOff>
      <xdr:row>5</xdr:row>
      <xdr:rowOff>0</xdr:rowOff>
    </xdr:from>
    <xdr:to>
      <xdr:col>114</xdr:col>
      <xdr:colOff>884391</xdr:colOff>
      <xdr:row>6</xdr:row>
      <xdr:rowOff>178414</xdr:rowOff>
    </xdr:to>
    <xdr:sp macro="" textlink="">
      <xdr:nvSpPr>
        <xdr:cNvPr id="1025" name="AutoShape 1" descr="logo">
          <a:hlinkClick xmlns:r="http://schemas.openxmlformats.org/officeDocument/2006/relationships" r:id="rId1"/>
          <a:extLst>
            <a:ext uri="{FF2B5EF4-FFF2-40B4-BE49-F238E27FC236}">
              <a16:creationId xmlns:a16="http://schemas.microsoft.com/office/drawing/2014/main" id="{F1F2F2F8-08D1-4DAA-E9BB-EFD37CB9959E}"/>
            </a:ext>
          </a:extLst>
        </xdr:cNvPr>
        <xdr:cNvSpPr>
          <a:spLocks noChangeAspect="1" noChangeArrowheads="1"/>
        </xdr:cNvSpPr>
      </xdr:nvSpPr>
      <xdr:spPr bwMode="auto">
        <a:xfrm>
          <a:off x="183908700" y="2038350"/>
          <a:ext cx="2686050" cy="6381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E6C25-F18D-43D4-B54C-33B3DC5D3336}">
  <dimension ref="A2:FE188"/>
  <sheetViews>
    <sheetView tabSelected="1" topLeftCell="A5" zoomScale="65" zoomScaleNormal="68" workbookViewId="0">
      <pane xSplit="3" ySplit="3" topLeftCell="D143" activePane="bottomRight" state="frozen"/>
      <selection activeCell="A5" sqref="A5"/>
      <selection pane="topRight" activeCell="D5" sqref="D5"/>
      <selection pane="bottomLeft" activeCell="A8" sqref="A8"/>
      <selection pane="bottomRight" activeCell="C144" sqref="C144"/>
    </sheetView>
  </sheetViews>
  <sheetFormatPr baseColWidth="10" defaultColWidth="11.3984375" defaultRowHeight="13.5" x14ac:dyDescent="0.35"/>
  <cols>
    <col min="1" max="1" width="16.3984375" style="1" customWidth="1"/>
    <col min="2" max="2" width="22.3984375" style="100" customWidth="1"/>
    <col min="3" max="3" width="87.265625" style="100" customWidth="1"/>
    <col min="4" max="5" width="16.59765625" style="1" customWidth="1"/>
    <col min="6" max="6" width="16.59765625" style="2" customWidth="1"/>
    <col min="7" max="7" width="28.86328125" style="3" customWidth="1"/>
    <col min="8" max="16" width="19.59765625" style="2" customWidth="1"/>
    <col min="17" max="22" width="17.59765625" style="2" customWidth="1"/>
    <col min="23" max="27" width="19.86328125" style="2" customWidth="1"/>
    <col min="28" max="28" width="17.73046875" style="2" customWidth="1"/>
    <col min="29" max="112" width="27.3984375" style="2" customWidth="1"/>
    <col min="113" max="113" width="34" style="2" customWidth="1"/>
    <col min="114" max="117" width="27.3984375" style="2" customWidth="1"/>
    <col min="118" max="118" width="27.3984375" style="3" customWidth="1"/>
    <col min="119" max="119" width="27.3984375" style="2" customWidth="1"/>
    <col min="120" max="134" width="27.3984375" style="3" customWidth="1"/>
    <col min="135" max="135" width="27.3984375" style="138" customWidth="1"/>
    <col min="136" max="146" width="27.3984375" style="3" customWidth="1"/>
    <col min="147" max="149" width="16.73046875" style="2" customWidth="1"/>
    <col min="150" max="150" width="14.3984375" style="2" customWidth="1"/>
    <col min="151" max="151" width="21.3984375" style="3" customWidth="1"/>
    <col min="152" max="152" width="21.3984375" style="2" customWidth="1"/>
    <col min="153" max="153" width="30.86328125" style="3" customWidth="1"/>
    <col min="154" max="154" width="30.86328125" style="2" customWidth="1"/>
    <col min="155" max="155" width="67.3984375" style="2" customWidth="1"/>
    <col min="156" max="156" width="0" style="1" hidden="1" customWidth="1"/>
    <col min="157" max="157" width="15" style="1" bestFit="1" customWidth="1"/>
    <col min="158" max="158" width="23.86328125" style="1" customWidth="1"/>
    <col min="159" max="159" width="30.1328125" style="1" customWidth="1"/>
    <col min="160" max="160" width="37.3984375" style="1" customWidth="1"/>
    <col min="161" max="161" width="36.1328125" style="1" customWidth="1"/>
    <col min="162" max="16384" width="11.3984375" style="1"/>
  </cols>
  <sheetData>
    <row r="2" spans="1:161" ht="18.75" customHeight="1" x14ac:dyDescent="0.35"/>
    <row r="3" spans="1:161" ht="13.9" x14ac:dyDescent="0.35">
      <c r="A3" s="250" t="s">
        <v>0</v>
      </c>
      <c r="B3" s="250"/>
      <c r="C3" s="250"/>
      <c r="D3" s="250"/>
      <c r="E3" s="250"/>
      <c r="F3" s="250"/>
      <c r="G3" s="250"/>
      <c r="H3" s="250"/>
      <c r="I3" s="250"/>
      <c r="J3" s="250"/>
    </row>
    <row r="4" spans="1:161" ht="34.15" customHeight="1" x14ac:dyDescent="0.35">
      <c r="A4" s="254" t="s">
        <v>428</v>
      </c>
      <c r="B4" s="255"/>
      <c r="C4" s="255"/>
      <c r="D4" s="255"/>
      <c r="E4" s="255"/>
      <c r="F4" s="255"/>
      <c r="G4" s="253"/>
      <c r="H4" s="253"/>
      <c r="I4" s="253"/>
      <c r="J4" s="253"/>
    </row>
    <row r="5" spans="1:161" ht="52.5" customHeight="1" x14ac:dyDescent="0.35">
      <c r="A5" s="256"/>
      <c r="B5" s="257"/>
      <c r="C5" s="257"/>
      <c r="D5" s="257"/>
      <c r="E5" s="257"/>
      <c r="F5" s="257"/>
      <c r="G5" s="124"/>
      <c r="H5" s="4"/>
      <c r="I5" s="5"/>
      <c r="J5" s="6"/>
    </row>
    <row r="6" spans="1:161" ht="36.75" customHeight="1" x14ac:dyDescent="0.35">
      <c r="A6" s="11" t="s">
        <v>1</v>
      </c>
      <c r="B6" s="219" t="s">
        <v>2</v>
      </c>
      <c r="C6" s="150" t="s">
        <v>3</v>
      </c>
      <c r="D6" s="259" t="s">
        <v>4</v>
      </c>
      <c r="E6" s="259" t="s">
        <v>5</v>
      </c>
      <c r="F6" s="259" t="s">
        <v>6</v>
      </c>
      <c r="G6" s="251" t="s">
        <v>426</v>
      </c>
      <c r="H6" s="241" t="s">
        <v>169</v>
      </c>
      <c r="I6" s="241"/>
      <c r="J6" s="258" t="s">
        <v>101</v>
      </c>
      <c r="K6" s="258"/>
      <c r="L6" s="241" t="s">
        <v>370</v>
      </c>
      <c r="M6" s="241"/>
      <c r="N6" s="258" t="s">
        <v>371</v>
      </c>
      <c r="O6" s="258"/>
      <c r="P6" s="7" t="s">
        <v>102</v>
      </c>
      <c r="Q6" s="242" t="s">
        <v>116</v>
      </c>
      <c r="R6" s="242"/>
      <c r="S6" s="241" t="s">
        <v>117</v>
      </c>
      <c r="T6" s="241"/>
      <c r="U6" s="242" t="s">
        <v>120</v>
      </c>
      <c r="V6" s="242"/>
      <c r="W6" s="241" t="s">
        <v>122</v>
      </c>
      <c r="X6" s="241"/>
      <c r="Y6" s="242" t="s">
        <v>123</v>
      </c>
      <c r="Z6" s="242"/>
      <c r="AA6" s="241" t="s">
        <v>124</v>
      </c>
      <c r="AB6" s="241"/>
      <c r="AC6" s="242" t="s">
        <v>125</v>
      </c>
      <c r="AD6" s="242"/>
      <c r="AE6" s="241" t="s">
        <v>127</v>
      </c>
      <c r="AF6" s="241"/>
      <c r="AG6" s="242" t="s">
        <v>130</v>
      </c>
      <c r="AH6" s="242"/>
      <c r="AI6" s="241" t="s">
        <v>129</v>
      </c>
      <c r="AJ6" s="241"/>
      <c r="AK6" s="242" t="s">
        <v>131</v>
      </c>
      <c r="AL6" s="242"/>
      <c r="AM6" s="7" t="s">
        <v>132</v>
      </c>
      <c r="AN6" s="8" t="s">
        <v>133</v>
      </c>
      <c r="AO6" s="241" t="s">
        <v>137</v>
      </c>
      <c r="AP6" s="241"/>
      <c r="AQ6" s="242" t="s">
        <v>131</v>
      </c>
      <c r="AR6" s="242"/>
      <c r="AS6" s="7" t="s">
        <v>138</v>
      </c>
      <c r="AT6" s="8" t="s">
        <v>140</v>
      </c>
      <c r="AU6" s="7" t="s">
        <v>141</v>
      </c>
      <c r="AV6" s="242" t="s">
        <v>142</v>
      </c>
      <c r="AW6" s="242"/>
      <c r="AX6" s="7" t="s">
        <v>143</v>
      </c>
      <c r="AY6" s="8" t="s">
        <v>144</v>
      </c>
      <c r="AZ6" s="241" t="s">
        <v>146</v>
      </c>
      <c r="BA6" s="241"/>
      <c r="BB6" s="8" t="s">
        <v>143</v>
      </c>
      <c r="BC6" s="7" t="s">
        <v>144</v>
      </c>
      <c r="BD6" s="242" t="s">
        <v>150</v>
      </c>
      <c r="BE6" s="242"/>
      <c r="BF6" s="241" t="s">
        <v>151</v>
      </c>
      <c r="BG6" s="241"/>
      <c r="BH6" s="8" t="s">
        <v>152</v>
      </c>
      <c r="BI6" s="241" t="s">
        <v>154</v>
      </c>
      <c r="BJ6" s="241"/>
      <c r="BK6" s="8" t="s">
        <v>156</v>
      </c>
      <c r="BL6" s="241" t="s">
        <v>163</v>
      </c>
      <c r="BM6" s="241"/>
      <c r="BN6" s="242" t="s">
        <v>165</v>
      </c>
      <c r="BO6" s="242"/>
      <c r="BP6" s="7" t="s">
        <v>166</v>
      </c>
      <c r="BQ6" s="8" t="s">
        <v>168</v>
      </c>
      <c r="BR6" s="7" t="s">
        <v>171</v>
      </c>
      <c r="BS6" s="242" t="s">
        <v>173</v>
      </c>
      <c r="BT6" s="242"/>
      <c r="BU6" s="7" t="s">
        <v>174</v>
      </c>
      <c r="BV6" s="8" t="s">
        <v>175</v>
      </c>
      <c r="BW6" s="7" t="s">
        <v>156</v>
      </c>
      <c r="BX6" s="242" t="s">
        <v>177</v>
      </c>
      <c r="BY6" s="242"/>
      <c r="BZ6" s="7" t="s">
        <v>180</v>
      </c>
      <c r="CA6" s="8" t="s">
        <v>181</v>
      </c>
      <c r="CB6" s="7" t="s">
        <v>182</v>
      </c>
      <c r="CC6" s="242" t="s">
        <v>183</v>
      </c>
      <c r="CD6" s="242"/>
      <c r="CE6" s="7" t="s">
        <v>179</v>
      </c>
      <c r="CF6" s="8" t="s">
        <v>184</v>
      </c>
      <c r="CG6" s="241" t="s">
        <v>185</v>
      </c>
      <c r="CH6" s="241"/>
      <c r="CI6" s="242" t="s">
        <v>186</v>
      </c>
      <c r="CJ6" s="242"/>
      <c r="CK6" s="7" t="s">
        <v>187</v>
      </c>
      <c r="CL6" s="242" t="s">
        <v>173</v>
      </c>
      <c r="CM6" s="242"/>
      <c r="CN6" s="7" t="s">
        <v>193</v>
      </c>
      <c r="CO6" s="8" t="s">
        <v>194</v>
      </c>
      <c r="CP6" s="241" t="s">
        <v>195</v>
      </c>
      <c r="CQ6" s="241"/>
      <c r="CR6" s="242" t="s">
        <v>196</v>
      </c>
      <c r="CS6" s="242"/>
      <c r="CT6" s="241" t="s">
        <v>197</v>
      </c>
      <c r="CU6" s="241"/>
      <c r="CV6" s="242" t="s">
        <v>198</v>
      </c>
      <c r="CW6" s="242"/>
      <c r="CX6" s="241" t="s">
        <v>199</v>
      </c>
      <c r="CY6" s="241"/>
      <c r="CZ6" s="242" t="s">
        <v>200</v>
      </c>
      <c r="DA6" s="242"/>
      <c r="DB6" s="7" t="s">
        <v>166</v>
      </c>
      <c r="DC6" s="8" t="s">
        <v>204</v>
      </c>
      <c r="DD6" s="7" t="s">
        <v>205</v>
      </c>
      <c r="DE6" s="8" t="s">
        <v>207</v>
      </c>
      <c r="DF6" s="7" t="s">
        <v>206</v>
      </c>
      <c r="DG6" s="244" t="s">
        <v>209</v>
      </c>
      <c r="DH6" s="245"/>
      <c r="DI6" s="266"/>
      <c r="DJ6" s="7" t="s">
        <v>208</v>
      </c>
      <c r="DK6" s="8" t="s">
        <v>210</v>
      </c>
      <c r="DL6" s="7" t="s">
        <v>211</v>
      </c>
      <c r="DM6" s="8" t="s">
        <v>212</v>
      </c>
      <c r="DN6" s="9" t="s">
        <v>213</v>
      </c>
      <c r="DO6" s="8" t="s">
        <v>214</v>
      </c>
      <c r="DP6" s="9" t="s">
        <v>235</v>
      </c>
      <c r="DQ6" s="133" t="s">
        <v>244</v>
      </c>
      <c r="DR6" s="198" t="s">
        <v>267</v>
      </c>
      <c r="DS6" s="8" t="s">
        <v>248</v>
      </c>
      <c r="DT6" s="134" t="s">
        <v>245</v>
      </c>
      <c r="DU6" s="136" t="s">
        <v>246</v>
      </c>
      <c r="DV6" s="135" t="s">
        <v>247</v>
      </c>
      <c r="DW6" s="133" t="s">
        <v>249</v>
      </c>
      <c r="DX6" s="264" t="s">
        <v>258</v>
      </c>
      <c r="DY6" s="264"/>
      <c r="DZ6" s="265" t="s">
        <v>259</v>
      </c>
      <c r="EA6" s="265"/>
      <c r="EB6" s="261" t="s">
        <v>280</v>
      </c>
      <c r="EC6" s="262"/>
      <c r="ED6" s="263"/>
      <c r="EE6" s="8" t="s">
        <v>283</v>
      </c>
      <c r="EF6" s="199" t="s">
        <v>309</v>
      </c>
      <c r="EG6" s="242" t="s">
        <v>314</v>
      </c>
      <c r="EH6" s="242"/>
      <c r="EI6" s="242"/>
      <c r="EJ6" s="243" t="s">
        <v>313</v>
      </c>
      <c r="EK6" s="243"/>
      <c r="EL6" s="243"/>
      <c r="EM6" s="244" t="s">
        <v>312</v>
      </c>
      <c r="EN6" s="245"/>
      <c r="EO6" s="245"/>
      <c r="EP6" s="135" t="s">
        <v>380</v>
      </c>
      <c r="EQ6" s="237" t="s">
        <v>104</v>
      </c>
      <c r="ER6" s="237"/>
      <c r="ES6" s="237"/>
      <c r="ET6" s="238"/>
      <c r="EU6" s="246" t="s">
        <v>110</v>
      </c>
      <c r="EV6" s="247"/>
      <c r="EW6" s="248"/>
      <c r="EX6" s="247"/>
      <c r="EY6" s="249"/>
    </row>
    <row r="7" spans="1:161" ht="40.5" customHeight="1" x14ac:dyDescent="0.35">
      <c r="A7" s="231" t="s">
        <v>7</v>
      </c>
      <c r="B7" s="232"/>
      <c r="C7" s="233"/>
      <c r="D7" s="260"/>
      <c r="E7" s="260"/>
      <c r="F7" s="260"/>
      <c r="G7" s="252"/>
      <c r="H7" s="10" t="s">
        <v>103</v>
      </c>
      <c r="I7" s="10" t="s">
        <v>121</v>
      </c>
      <c r="J7" s="11" t="s">
        <v>100</v>
      </c>
      <c r="K7" s="10" t="s">
        <v>121</v>
      </c>
      <c r="L7" s="11" t="s">
        <v>100</v>
      </c>
      <c r="M7" s="10" t="s">
        <v>121</v>
      </c>
      <c r="N7" s="11" t="s">
        <v>100</v>
      </c>
      <c r="O7" s="10" t="s">
        <v>121</v>
      </c>
      <c r="P7" s="10" t="s">
        <v>103</v>
      </c>
      <c r="Q7" s="10" t="s">
        <v>103</v>
      </c>
      <c r="R7" s="10" t="s">
        <v>121</v>
      </c>
      <c r="S7" s="10" t="s">
        <v>103</v>
      </c>
      <c r="T7" s="10" t="s">
        <v>121</v>
      </c>
      <c r="U7" s="10" t="s">
        <v>103</v>
      </c>
      <c r="V7" s="10" t="s">
        <v>121</v>
      </c>
      <c r="W7" s="10" t="s">
        <v>103</v>
      </c>
      <c r="X7" s="10" t="s">
        <v>121</v>
      </c>
      <c r="Y7" s="10" t="s">
        <v>103</v>
      </c>
      <c r="Z7" s="10" t="s">
        <v>121</v>
      </c>
      <c r="AA7" s="10" t="s">
        <v>103</v>
      </c>
      <c r="AB7" s="10" t="s">
        <v>121</v>
      </c>
      <c r="AC7" s="10" t="s">
        <v>103</v>
      </c>
      <c r="AD7" s="10" t="s">
        <v>121</v>
      </c>
      <c r="AE7" s="10" t="s">
        <v>103</v>
      </c>
      <c r="AF7" s="10" t="s">
        <v>128</v>
      </c>
      <c r="AG7" s="10" t="s">
        <v>103</v>
      </c>
      <c r="AH7" s="10" t="s">
        <v>128</v>
      </c>
      <c r="AI7" s="10" t="s">
        <v>103</v>
      </c>
      <c r="AJ7" s="10" t="s">
        <v>128</v>
      </c>
      <c r="AK7" s="10" t="s">
        <v>103</v>
      </c>
      <c r="AL7" s="10" t="s">
        <v>128</v>
      </c>
      <c r="AM7" s="10" t="s">
        <v>103</v>
      </c>
      <c r="AN7" s="10" t="s">
        <v>103</v>
      </c>
      <c r="AO7" s="10" t="s">
        <v>103</v>
      </c>
      <c r="AP7" s="10" t="s">
        <v>128</v>
      </c>
      <c r="AQ7" s="10" t="s">
        <v>103</v>
      </c>
      <c r="AR7" s="10" t="s">
        <v>128</v>
      </c>
      <c r="AS7" s="10" t="s">
        <v>103</v>
      </c>
      <c r="AT7" s="10" t="s">
        <v>103</v>
      </c>
      <c r="AU7" s="10" t="s">
        <v>103</v>
      </c>
      <c r="AV7" s="10" t="s">
        <v>103</v>
      </c>
      <c r="AW7" s="10" t="s">
        <v>121</v>
      </c>
      <c r="AX7" s="10" t="s">
        <v>103</v>
      </c>
      <c r="AY7" s="10" t="s">
        <v>103</v>
      </c>
      <c r="AZ7" s="10" t="s">
        <v>103</v>
      </c>
      <c r="BA7" s="10" t="s">
        <v>128</v>
      </c>
      <c r="BB7" s="10" t="s">
        <v>103</v>
      </c>
      <c r="BC7" s="10" t="s">
        <v>103</v>
      </c>
      <c r="BD7" s="10" t="s">
        <v>103</v>
      </c>
      <c r="BE7" s="10" t="s">
        <v>128</v>
      </c>
      <c r="BF7" s="10" t="s">
        <v>103</v>
      </c>
      <c r="BG7" s="10" t="s">
        <v>128</v>
      </c>
      <c r="BH7" s="10" t="s">
        <v>103</v>
      </c>
      <c r="BI7" s="10" t="s">
        <v>103</v>
      </c>
      <c r="BJ7" s="10" t="s">
        <v>128</v>
      </c>
      <c r="BK7" s="10" t="s">
        <v>103</v>
      </c>
      <c r="BL7" s="10" t="s">
        <v>103</v>
      </c>
      <c r="BM7" s="10" t="s">
        <v>164</v>
      </c>
      <c r="BN7" s="10" t="s">
        <v>103</v>
      </c>
      <c r="BO7" s="10" t="s">
        <v>164</v>
      </c>
      <c r="BP7" s="10" t="s">
        <v>103</v>
      </c>
      <c r="BQ7" s="10" t="s">
        <v>103</v>
      </c>
      <c r="BR7" s="10" t="s">
        <v>103</v>
      </c>
      <c r="BS7" s="10" t="s">
        <v>103</v>
      </c>
      <c r="BT7" s="10" t="s">
        <v>164</v>
      </c>
      <c r="BU7" s="10" t="s">
        <v>103</v>
      </c>
      <c r="BV7" s="10" t="s">
        <v>103</v>
      </c>
      <c r="BW7" s="10" t="s">
        <v>103</v>
      </c>
      <c r="BX7" s="10" t="s">
        <v>103</v>
      </c>
      <c r="BY7" s="10" t="s">
        <v>178</v>
      </c>
      <c r="BZ7" s="10" t="s">
        <v>103</v>
      </c>
      <c r="CA7" s="10" t="s">
        <v>103</v>
      </c>
      <c r="CB7" s="10" t="s">
        <v>103</v>
      </c>
      <c r="CC7" s="10" t="s">
        <v>103</v>
      </c>
      <c r="CD7" s="10" t="s">
        <v>178</v>
      </c>
      <c r="CE7" s="10" t="s">
        <v>103</v>
      </c>
      <c r="CF7" s="10" t="s">
        <v>103</v>
      </c>
      <c r="CG7" s="10" t="s">
        <v>103</v>
      </c>
      <c r="CH7" s="10" t="s">
        <v>178</v>
      </c>
      <c r="CI7" s="10" t="s">
        <v>103</v>
      </c>
      <c r="CJ7" s="10" t="s">
        <v>178</v>
      </c>
      <c r="CK7" s="10" t="s">
        <v>103</v>
      </c>
      <c r="CL7" s="10" t="s">
        <v>103</v>
      </c>
      <c r="CM7" s="10" t="s">
        <v>178</v>
      </c>
      <c r="CN7" s="10" t="s">
        <v>103</v>
      </c>
      <c r="CO7" s="10" t="s">
        <v>103</v>
      </c>
      <c r="CP7" s="10" t="s">
        <v>103</v>
      </c>
      <c r="CQ7" s="10" t="s">
        <v>178</v>
      </c>
      <c r="CR7" s="10" t="s">
        <v>103</v>
      </c>
      <c r="CS7" s="10" t="s">
        <v>128</v>
      </c>
      <c r="CT7" s="10" t="s">
        <v>103</v>
      </c>
      <c r="CU7" s="10" t="s">
        <v>128</v>
      </c>
      <c r="CV7" s="10" t="s">
        <v>103</v>
      </c>
      <c r="CW7" s="10" t="s">
        <v>128</v>
      </c>
      <c r="CX7" s="10" t="s">
        <v>103</v>
      </c>
      <c r="CY7" s="10" t="s">
        <v>164</v>
      </c>
      <c r="CZ7" s="10" t="s">
        <v>103</v>
      </c>
      <c r="DA7" s="10" t="s">
        <v>164</v>
      </c>
      <c r="DB7" s="10" t="s">
        <v>103</v>
      </c>
      <c r="DC7" s="10" t="s">
        <v>203</v>
      </c>
      <c r="DD7" s="10" t="s">
        <v>203</v>
      </c>
      <c r="DE7" s="10" t="s">
        <v>203</v>
      </c>
      <c r="DF7" s="10" t="s">
        <v>203</v>
      </c>
      <c r="DG7" s="10" t="s">
        <v>215</v>
      </c>
      <c r="DH7" s="10" t="s">
        <v>216</v>
      </c>
      <c r="DI7" s="10" t="s">
        <v>217</v>
      </c>
      <c r="DJ7" s="10" t="s">
        <v>203</v>
      </c>
      <c r="DK7" s="10" t="s">
        <v>203</v>
      </c>
      <c r="DL7" s="10" t="s">
        <v>203</v>
      </c>
      <c r="DM7" s="10" t="s">
        <v>203</v>
      </c>
      <c r="DN7" s="12" t="s">
        <v>103</v>
      </c>
      <c r="DO7" s="12" t="s">
        <v>103</v>
      </c>
      <c r="DP7" s="12" t="s">
        <v>103</v>
      </c>
      <c r="DQ7" s="12" t="s">
        <v>103</v>
      </c>
      <c r="DR7" s="12" t="s">
        <v>103</v>
      </c>
      <c r="DS7" s="12" t="s">
        <v>103</v>
      </c>
      <c r="DT7" s="12" t="s">
        <v>103</v>
      </c>
      <c r="DU7" s="12" t="s">
        <v>103</v>
      </c>
      <c r="DV7" s="12" t="s">
        <v>103</v>
      </c>
      <c r="DW7" s="12" t="s">
        <v>103</v>
      </c>
      <c r="DX7" s="10" t="s">
        <v>103</v>
      </c>
      <c r="DY7" s="10" t="s">
        <v>178</v>
      </c>
      <c r="DZ7" s="10" t="s">
        <v>103</v>
      </c>
      <c r="EA7" s="10" t="s">
        <v>178</v>
      </c>
      <c r="EB7" s="10" t="s">
        <v>215</v>
      </c>
      <c r="EC7" s="10" t="s">
        <v>216</v>
      </c>
      <c r="ED7" s="10" t="s">
        <v>217</v>
      </c>
      <c r="EE7" s="10" t="s">
        <v>103</v>
      </c>
      <c r="EF7" s="10" t="s">
        <v>103</v>
      </c>
      <c r="EG7" s="10" t="s">
        <v>215</v>
      </c>
      <c r="EH7" s="10" t="s">
        <v>216</v>
      </c>
      <c r="EI7" s="10" t="s">
        <v>217</v>
      </c>
      <c r="EJ7" s="10" t="s">
        <v>215</v>
      </c>
      <c r="EK7" s="10" t="s">
        <v>216</v>
      </c>
      <c r="EL7" s="10" t="s">
        <v>217</v>
      </c>
      <c r="EM7" s="10" t="s">
        <v>215</v>
      </c>
      <c r="EN7" s="10" t="s">
        <v>216</v>
      </c>
      <c r="EO7" s="211" t="s">
        <v>217</v>
      </c>
      <c r="EP7" s="10" t="s">
        <v>103</v>
      </c>
      <c r="EQ7" s="131" t="s">
        <v>105</v>
      </c>
      <c r="ER7" s="114" t="s">
        <v>106</v>
      </c>
      <c r="ES7" s="114" t="s">
        <v>107</v>
      </c>
      <c r="ET7" s="115" t="s">
        <v>108</v>
      </c>
      <c r="EU7" s="114" t="s">
        <v>231</v>
      </c>
      <c r="EV7" s="114" t="s">
        <v>232</v>
      </c>
      <c r="EW7" s="116" t="s">
        <v>233</v>
      </c>
      <c r="EX7" s="116" t="s">
        <v>234</v>
      </c>
      <c r="EY7" s="13" t="s">
        <v>111</v>
      </c>
    </row>
    <row r="8" spans="1:161" ht="135" x14ac:dyDescent="0.35">
      <c r="A8" s="14">
        <v>1</v>
      </c>
      <c r="B8" s="141" t="s">
        <v>398</v>
      </c>
      <c r="C8" s="141" t="s">
        <v>425</v>
      </c>
      <c r="D8" s="15" t="s">
        <v>8</v>
      </c>
      <c r="E8" s="15">
        <v>1</v>
      </c>
      <c r="F8" s="15">
        <v>6</v>
      </c>
      <c r="G8" s="3">
        <v>8035001</v>
      </c>
      <c r="H8" s="17"/>
      <c r="I8" s="18"/>
      <c r="J8" s="18"/>
      <c r="K8" s="19"/>
      <c r="L8" s="19"/>
      <c r="M8" s="19"/>
      <c r="N8" s="19"/>
      <c r="O8" s="19"/>
      <c r="P8" s="19"/>
      <c r="Q8" s="19"/>
      <c r="R8" s="20"/>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8"/>
      <c r="AY8" s="18"/>
      <c r="AZ8" s="18"/>
      <c r="BA8" s="18"/>
      <c r="BB8" s="18"/>
      <c r="BC8" s="18"/>
      <c r="BD8" s="18"/>
      <c r="BE8" s="18"/>
      <c r="BF8" s="18"/>
      <c r="BG8" s="18"/>
      <c r="BH8" s="18"/>
      <c r="BI8" s="18"/>
      <c r="BJ8" s="18"/>
      <c r="BK8" s="18"/>
      <c r="BL8" s="18"/>
      <c r="BM8" s="18"/>
      <c r="BN8" s="18"/>
      <c r="BO8" s="18"/>
      <c r="BP8" s="18"/>
      <c r="BQ8" s="18"/>
      <c r="BR8" s="18"/>
      <c r="BS8" s="18"/>
      <c r="BT8" s="18"/>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1"/>
      <c r="DA8" s="21"/>
      <c r="DB8" s="21"/>
      <c r="DC8" s="21"/>
      <c r="DD8" s="21"/>
      <c r="DE8" s="21"/>
      <c r="DF8" s="21"/>
      <c r="DG8" s="21"/>
      <c r="DH8" s="21"/>
      <c r="DI8" s="21"/>
      <c r="DJ8" s="21"/>
      <c r="DK8" s="21"/>
      <c r="DL8" s="21"/>
      <c r="DM8" s="21"/>
      <c r="DN8" s="44"/>
      <c r="DO8" s="22"/>
      <c r="DP8" s="83"/>
      <c r="DQ8" s="149"/>
      <c r="DR8" s="149"/>
      <c r="DS8" s="23"/>
      <c r="DT8" s="23"/>
      <c r="DU8" s="23"/>
      <c r="DV8" s="23"/>
      <c r="DW8" s="23"/>
      <c r="DX8" s="23"/>
      <c r="DY8" s="23"/>
      <c r="DZ8" s="23"/>
      <c r="EA8" s="23"/>
      <c r="EB8" s="23"/>
      <c r="EC8" s="23"/>
      <c r="ED8" s="23"/>
      <c r="EE8" s="23"/>
      <c r="EF8" s="23"/>
      <c r="EG8" s="23"/>
      <c r="EH8" s="23"/>
      <c r="EI8" s="23"/>
      <c r="EJ8" s="23"/>
      <c r="EK8" s="23"/>
      <c r="EL8" s="23"/>
      <c r="EM8" s="23"/>
      <c r="EN8" s="23"/>
      <c r="EO8" s="23"/>
      <c r="EP8" s="23"/>
      <c r="EQ8" s="24"/>
      <c r="ER8" s="24"/>
      <c r="ES8" s="24"/>
      <c r="ET8" s="19"/>
      <c r="EU8" s="25">
        <f>+EW8/1.19</f>
        <v>6752101.6806722693</v>
      </c>
      <c r="EV8" s="25">
        <f>+EU8*19%</f>
        <v>1282899.3193277312</v>
      </c>
      <c r="EW8" s="122">
        <f>+G8</f>
        <v>8035001</v>
      </c>
      <c r="EX8" s="105">
        <f>+EW8*E8*F8</f>
        <v>48210006</v>
      </c>
      <c r="EY8" s="226" t="s">
        <v>423</v>
      </c>
    </row>
    <row r="9" spans="1:161" ht="121.5" x14ac:dyDescent="0.35">
      <c r="A9" s="14">
        <v>2</v>
      </c>
      <c r="B9" s="143" t="s">
        <v>13</v>
      </c>
      <c r="C9" s="141" t="s">
        <v>402</v>
      </c>
      <c r="D9" s="15" t="s">
        <v>8</v>
      </c>
      <c r="E9" s="15">
        <v>1</v>
      </c>
      <c r="F9" s="15">
        <v>5</v>
      </c>
      <c r="G9" s="54">
        <v>5889001</v>
      </c>
      <c r="H9" s="17"/>
      <c r="I9" s="18"/>
      <c r="J9" s="18"/>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9"/>
      <c r="BU9" s="19"/>
      <c r="BV9" s="19"/>
      <c r="BW9" s="19"/>
      <c r="BX9" s="19"/>
      <c r="BY9" s="19"/>
      <c r="BZ9" s="19"/>
      <c r="CA9" s="19"/>
      <c r="CB9" s="19"/>
      <c r="CC9" s="19"/>
      <c r="CD9" s="19"/>
      <c r="CE9" s="19"/>
      <c r="CF9" s="19"/>
      <c r="CG9" s="19"/>
      <c r="CH9" s="19"/>
      <c r="CI9" s="19"/>
      <c r="CJ9" s="19"/>
      <c r="CK9" s="19"/>
      <c r="CL9" s="19"/>
      <c r="CM9" s="19"/>
      <c r="CN9" s="19"/>
      <c r="CO9" s="19"/>
      <c r="CP9" s="19"/>
      <c r="CQ9" s="19"/>
      <c r="CR9" s="19"/>
      <c r="CS9" s="19"/>
      <c r="CT9" s="19"/>
      <c r="CU9" s="19"/>
      <c r="CV9" s="19"/>
      <c r="CW9" s="19"/>
      <c r="CX9" s="19"/>
      <c r="CY9" s="19"/>
      <c r="CZ9" s="19"/>
      <c r="DA9" s="19"/>
      <c r="DB9" s="19"/>
      <c r="DC9" s="19"/>
      <c r="DD9" s="19"/>
      <c r="DE9" s="19"/>
      <c r="DF9" s="19"/>
      <c r="DG9" s="19"/>
      <c r="DH9" s="19"/>
      <c r="DI9" s="19"/>
      <c r="DJ9" s="19"/>
      <c r="DK9" s="19"/>
      <c r="DL9" s="19"/>
      <c r="DM9" s="19"/>
      <c r="DN9" s="44"/>
      <c r="DO9" s="22"/>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3"/>
      <c r="EP9" s="23"/>
      <c r="EQ9" s="24"/>
      <c r="ER9" s="24"/>
      <c r="ES9" s="24"/>
      <c r="ET9" s="19"/>
      <c r="EU9" s="25">
        <f t="shared" ref="EU9:EU11" si="0">+EW9/1.19</f>
        <v>4948740.3361344542</v>
      </c>
      <c r="EV9" s="25">
        <f t="shared" ref="EV9:EV11" si="1">+EU9*19%</f>
        <v>940260.66386554635</v>
      </c>
      <c r="EW9" s="104">
        <f>+G9</f>
        <v>5889001</v>
      </c>
      <c r="EX9" s="105">
        <f>+EW9*E9*F9</f>
        <v>29445005</v>
      </c>
      <c r="EY9" s="226" t="s">
        <v>423</v>
      </c>
    </row>
    <row r="10" spans="1:161" ht="108" x14ac:dyDescent="0.35">
      <c r="A10" s="14">
        <v>3</v>
      </c>
      <c r="B10" s="64" t="s">
        <v>12</v>
      </c>
      <c r="C10" s="64" t="s">
        <v>403</v>
      </c>
      <c r="D10" s="15" t="s">
        <v>8</v>
      </c>
      <c r="E10" s="15">
        <v>6</v>
      </c>
      <c r="F10" s="15">
        <v>4</v>
      </c>
      <c r="G10" s="54">
        <v>5889001</v>
      </c>
      <c r="H10" s="17"/>
      <c r="I10" s="18"/>
      <c r="J10" s="18"/>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c r="BU10" s="19"/>
      <c r="BV10" s="19"/>
      <c r="BW10" s="19"/>
      <c r="BX10" s="19"/>
      <c r="BY10" s="19"/>
      <c r="BZ10" s="19"/>
      <c r="CA10" s="19"/>
      <c r="CB10" s="19"/>
      <c r="CC10" s="19"/>
      <c r="CD10" s="19"/>
      <c r="CE10" s="19"/>
      <c r="CF10" s="19"/>
      <c r="CG10" s="19"/>
      <c r="CH10" s="19"/>
      <c r="CI10" s="19"/>
      <c r="CJ10" s="19"/>
      <c r="CK10" s="19"/>
      <c r="CL10" s="19"/>
      <c r="CM10" s="19"/>
      <c r="CN10" s="19"/>
      <c r="CO10" s="19"/>
      <c r="CP10" s="19"/>
      <c r="CQ10" s="19"/>
      <c r="CR10" s="19"/>
      <c r="CS10" s="19"/>
      <c r="CT10" s="19"/>
      <c r="CU10" s="19"/>
      <c r="CV10" s="19"/>
      <c r="CW10" s="19"/>
      <c r="CX10" s="19"/>
      <c r="CY10" s="19"/>
      <c r="CZ10" s="19"/>
      <c r="DA10" s="19"/>
      <c r="DB10" s="19"/>
      <c r="DC10" s="19"/>
      <c r="DD10" s="19"/>
      <c r="DE10" s="19"/>
      <c r="DF10" s="19"/>
      <c r="DG10" s="19"/>
      <c r="DH10" s="19"/>
      <c r="DI10" s="19"/>
      <c r="DJ10" s="19"/>
      <c r="DK10" s="19"/>
      <c r="DL10" s="19"/>
      <c r="DM10" s="19"/>
      <c r="DN10" s="44"/>
      <c r="DO10" s="22"/>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4"/>
      <c r="ER10" s="24"/>
      <c r="ES10" s="24"/>
      <c r="ET10" s="19"/>
      <c r="EU10" s="25">
        <f t="shared" si="0"/>
        <v>4948740.3361344542</v>
      </c>
      <c r="EV10" s="25">
        <f t="shared" si="1"/>
        <v>940260.66386554635</v>
      </c>
      <c r="EW10" s="104">
        <f>+G10</f>
        <v>5889001</v>
      </c>
      <c r="EX10" s="105">
        <f>+EW10*E10*F10</f>
        <v>141336024</v>
      </c>
      <c r="EY10" s="226" t="s">
        <v>423</v>
      </c>
    </row>
    <row r="11" spans="1:161" ht="108" x14ac:dyDescent="0.35">
      <c r="A11" s="14">
        <v>4</v>
      </c>
      <c r="B11" s="64" t="s">
        <v>257</v>
      </c>
      <c r="C11" s="143" t="s">
        <v>404</v>
      </c>
      <c r="D11" s="15" t="s">
        <v>8</v>
      </c>
      <c r="E11" s="15">
        <v>6</v>
      </c>
      <c r="F11" s="15">
        <v>5</v>
      </c>
      <c r="G11" s="54">
        <v>3658201</v>
      </c>
      <c r="H11" s="17"/>
      <c r="I11" s="18"/>
      <c r="J11" s="18"/>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9"/>
      <c r="BU11" s="19"/>
      <c r="BV11" s="19"/>
      <c r="BW11" s="19"/>
      <c r="BX11" s="19"/>
      <c r="BY11" s="19"/>
      <c r="BZ11" s="19"/>
      <c r="CA11" s="19"/>
      <c r="CB11" s="19"/>
      <c r="CC11" s="19"/>
      <c r="CD11" s="19"/>
      <c r="CE11" s="19"/>
      <c r="CF11" s="19"/>
      <c r="CG11" s="19"/>
      <c r="CH11" s="19"/>
      <c r="CI11" s="19"/>
      <c r="CJ11" s="19"/>
      <c r="CK11" s="19"/>
      <c r="CL11" s="19"/>
      <c r="CM11" s="19"/>
      <c r="CN11" s="19"/>
      <c r="CO11" s="19"/>
      <c r="CP11" s="19"/>
      <c r="CQ11" s="19"/>
      <c r="CR11" s="19"/>
      <c r="CS11" s="19"/>
      <c r="CT11" s="19"/>
      <c r="CU11" s="19"/>
      <c r="CV11" s="19"/>
      <c r="CW11" s="19"/>
      <c r="CX11" s="19"/>
      <c r="CY11" s="19"/>
      <c r="CZ11" s="19"/>
      <c r="DA11" s="19"/>
      <c r="DB11" s="19"/>
      <c r="DC11" s="19"/>
      <c r="DD11" s="19"/>
      <c r="DE11" s="19"/>
      <c r="DF11" s="19"/>
      <c r="DG11" s="19"/>
      <c r="DH11" s="19"/>
      <c r="DI11" s="19"/>
      <c r="DJ11" s="19"/>
      <c r="DK11" s="19"/>
      <c r="DL11" s="19"/>
      <c r="DM11" s="19"/>
      <c r="DN11" s="44"/>
      <c r="DO11" s="22"/>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4"/>
      <c r="ER11" s="24"/>
      <c r="ES11" s="24"/>
      <c r="ET11" s="19"/>
      <c r="EU11" s="25">
        <f t="shared" si="0"/>
        <v>3074118.4873949583</v>
      </c>
      <c r="EV11" s="25">
        <f t="shared" si="1"/>
        <v>584082.51260504208</v>
      </c>
      <c r="EW11" s="104">
        <f>+G11</f>
        <v>3658201</v>
      </c>
      <c r="EX11" s="105">
        <f>+EW11*E11*F11</f>
        <v>109746030</v>
      </c>
      <c r="EY11" s="226" t="s">
        <v>423</v>
      </c>
    </row>
    <row r="12" spans="1:161" ht="292.5" customHeight="1" x14ac:dyDescent="0.35">
      <c r="A12" s="32">
        <v>5</v>
      </c>
      <c r="B12" s="220" t="s">
        <v>372</v>
      </c>
      <c r="C12" s="142" t="s">
        <v>373</v>
      </c>
      <c r="D12" s="33" t="s">
        <v>9</v>
      </c>
      <c r="E12" s="33">
        <v>1</v>
      </c>
      <c r="F12" s="32">
        <v>1</v>
      </c>
      <c r="G12" s="40"/>
      <c r="H12" s="36"/>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7"/>
      <c r="DN12" s="40"/>
      <c r="DO12" s="38"/>
      <c r="DP12" s="39"/>
      <c r="DQ12" s="39"/>
      <c r="DR12" s="39"/>
      <c r="DS12" s="39"/>
      <c r="DT12" s="39"/>
      <c r="DU12" s="39"/>
      <c r="DV12" s="39"/>
      <c r="DW12" s="39"/>
      <c r="DX12" s="39"/>
      <c r="DY12" s="39"/>
      <c r="DZ12" s="39"/>
      <c r="EA12" s="39"/>
      <c r="EB12" s="39"/>
      <c r="EC12" s="39"/>
      <c r="ED12" s="39"/>
      <c r="EE12" s="39"/>
      <c r="EF12" s="39"/>
      <c r="EG12" s="39"/>
      <c r="EH12" s="39"/>
      <c r="EI12" s="39"/>
      <c r="EJ12" s="39"/>
      <c r="EK12" s="39"/>
      <c r="EL12" s="39"/>
      <c r="EM12" s="39"/>
      <c r="EN12" s="39"/>
      <c r="EO12" s="39"/>
      <c r="EP12" s="39"/>
      <c r="EQ12" s="37"/>
      <c r="ER12" s="37"/>
      <c r="ES12" s="37"/>
      <c r="ET12" s="37"/>
      <c r="EU12" s="39">
        <v>12019700</v>
      </c>
      <c r="EV12" s="40">
        <v>0</v>
      </c>
      <c r="EW12" s="39">
        <v>12019700</v>
      </c>
      <c r="EX12" s="39">
        <f>+EW12*E12*F12</f>
        <v>12019700</v>
      </c>
      <c r="EY12" s="34" t="s">
        <v>427</v>
      </c>
      <c r="FA12" s="216"/>
      <c r="FB12" s="216"/>
      <c r="FC12" s="227"/>
      <c r="FD12" s="230"/>
      <c r="FE12" s="229"/>
    </row>
    <row r="13" spans="1:161" ht="15.4" customHeight="1" x14ac:dyDescent="0.35">
      <c r="A13" s="231" t="s">
        <v>405</v>
      </c>
      <c r="B13" s="232"/>
      <c r="C13" s="232"/>
      <c r="D13" s="232"/>
      <c r="E13" s="232"/>
      <c r="F13" s="233"/>
      <c r="G13" s="126"/>
      <c r="H13" s="28"/>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29"/>
      <c r="DH13" s="29"/>
      <c r="DI13" s="29"/>
      <c r="DJ13" s="29"/>
      <c r="DK13" s="29"/>
      <c r="DL13" s="29"/>
      <c r="DM13" s="29"/>
      <c r="DN13" s="212"/>
      <c r="DO13" s="30"/>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55"/>
      <c r="ER13" s="55"/>
      <c r="ES13" s="55"/>
      <c r="ET13" s="56"/>
      <c r="EU13" s="57"/>
      <c r="EV13" s="57"/>
      <c r="EW13" s="58"/>
      <c r="EX13" s="59"/>
      <c r="EY13" s="60"/>
    </row>
    <row r="14" spans="1:161" ht="142.5" customHeight="1" x14ac:dyDescent="0.35">
      <c r="A14" s="14">
        <v>6</v>
      </c>
      <c r="B14" s="130" t="s">
        <v>52</v>
      </c>
      <c r="C14" s="130" t="s">
        <v>242</v>
      </c>
      <c r="D14" s="41" t="s">
        <v>16</v>
      </c>
      <c r="E14" s="42">
        <v>4</v>
      </c>
      <c r="F14" s="43"/>
      <c r="G14" s="125"/>
      <c r="H14" s="17"/>
      <c r="I14" s="18"/>
      <c r="J14" s="18"/>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9"/>
      <c r="BT14" s="19"/>
      <c r="BU14" s="19"/>
      <c r="BV14" s="19"/>
      <c r="BW14" s="19"/>
      <c r="BX14" s="19"/>
      <c r="BY14" s="19"/>
      <c r="BZ14" s="19"/>
      <c r="CA14" s="19"/>
      <c r="CB14" s="19"/>
      <c r="CC14" s="19"/>
      <c r="CD14" s="19"/>
      <c r="CE14" s="19"/>
      <c r="CF14" s="19"/>
      <c r="CG14" s="19"/>
      <c r="CH14" s="19"/>
      <c r="CI14" s="19"/>
      <c r="CJ14" s="19"/>
      <c r="CK14" s="19"/>
      <c r="CL14" s="19"/>
      <c r="CM14" s="19"/>
      <c r="CN14" s="19"/>
      <c r="CO14" s="19"/>
      <c r="CP14" s="19"/>
      <c r="CQ14" s="19"/>
      <c r="CR14" s="19"/>
      <c r="CS14" s="19"/>
      <c r="CT14" s="19"/>
      <c r="CU14" s="19"/>
      <c r="CV14" s="19"/>
      <c r="CW14" s="19"/>
      <c r="CX14" s="19"/>
      <c r="CY14" s="19"/>
      <c r="CZ14" s="19"/>
      <c r="DA14" s="19"/>
      <c r="DB14" s="19"/>
      <c r="DC14" s="19"/>
      <c r="DD14" s="19"/>
      <c r="DE14" s="19"/>
      <c r="DF14" s="19"/>
      <c r="DG14" s="19"/>
      <c r="DH14" s="19"/>
      <c r="DI14" s="19"/>
      <c r="DJ14" s="19"/>
      <c r="DK14" s="19"/>
      <c r="DL14" s="19"/>
      <c r="DM14" s="19"/>
      <c r="DN14" s="44">
        <v>12852000</v>
      </c>
      <c r="DO14" s="22">
        <v>19200000</v>
      </c>
      <c r="DP14" s="23">
        <v>14042000</v>
      </c>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45">
        <f>MEDIAN(DN14,DO14,DP14)</f>
        <v>14042000</v>
      </c>
      <c r="ER14" s="45">
        <f>AVERAGE(DN14,DO14,DP14)</f>
        <v>15364666.666666666</v>
      </c>
      <c r="ES14" s="45">
        <f>+STDEV(DN14,DO14,DP14)</f>
        <v>3374368.2865587319</v>
      </c>
      <c r="ET14" s="46">
        <f t="shared" ref="ET14" si="2">ES14/ER14</f>
        <v>0.2196187108881025</v>
      </c>
      <c r="EU14" s="44">
        <f>EW14/1.19</f>
        <v>11800000</v>
      </c>
      <c r="EV14" s="44">
        <f>EU14*19%</f>
        <v>2242000</v>
      </c>
      <c r="EW14" s="44">
        <f>+ROUNDUP(IF(ET14&lt;15%,ER14,EQ14),0)</f>
        <v>14042000</v>
      </c>
      <c r="EX14" s="103">
        <f t="shared" ref="EX14:EX23" si="3">+EW14*E14</f>
        <v>56168000</v>
      </c>
      <c r="EY14" s="26" t="s">
        <v>219</v>
      </c>
      <c r="FB14" s="91"/>
    </row>
    <row r="15" spans="1:161" ht="315.75" customHeight="1" x14ac:dyDescent="0.35">
      <c r="A15" s="14">
        <v>7</v>
      </c>
      <c r="B15" s="143" t="s">
        <v>112</v>
      </c>
      <c r="C15" s="143" t="s">
        <v>113</v>
      </c>
      <c r="D15" s="15" t="s">
        <v>16</v>
      </c>
      <c r="E15" s="15">
        <v>20</v>
      </c>
      <c r="F15" s="43"/>
      <c r="G15" s="125"/>
      <c r="H15" s="48">
        <v>1200000</v>
      </c>
      <c r="I15" s="48">
        <v>1261200</v>
      </c>
      <c r="J15" s="48">
        <v>1560000</v>
      </c>
      <c r="K15" s="48">
        <v>1639560</v>
      </c>
      <c r="L15" s="48"/>
      <c r="M15" s="48"/>
      <c r="N15" s="48"/>
      <c r="O15" s="48"/>
      <c r="P15" s="49">
        <v>2000000</v>
      </c>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9"/>
      <c r="BT15" s="19"/>
      <c r="BU15" s="19"/>
      <c r="BV15" s="19"/>
      <c r="BW15" s="19"/>
      <c r="BX15" s="19"/>
      <c r="BY15" s="19"/>
      <c r="BZ15" s="19"/>
      <c r="CA15" s="19"/>
      <c r="CB15" s="19"/>
      <c r="CC15" s="19"/>
      <c r="CD15" s="19"/>
      <c r="CE15" s="19"/>
      <c r="CF15" s="19"/>
      <c r="CG15" s="19"/>
      <c r="CH15" s="19"/>
      <c r="CI15" s="19"/>
      <c r="CJ15" s="19"/>
      <c r="CK15" s="19"/>
      <c r="CL15" s="19"/>
      <c r="CM15" s="19"/>
      <c r="CN15" s="19"/>
      <c r="CO15" s="19"/>
      <c r="CP15" s="19"/>
      <c r="CQ15" s="19"/>
      <c r="CR15" s="19"/>
      <c r="CS15" s="19"/>
      <c r="CT15" s="19"/>
      <c r="CU15" s="19"/>
      <c r="CV15" s="19"/>
      <c r="CW15" s="19"/>
      <c r="CX15" s="19"/>
      <c r="CY15" s="19"/>
      <c r="CZ15" s="19"/>
      <c r="DA15" s="19"/>
      <c r="DB15" s="19"/>
      <c r="DC15" s="19"/>
      <c r="DD15" s="19"/>
      <c r="DE15" s="19"/>
      <c r="DF15" s="19"/>
      <c r="DG15" s="19"/>
      <c r="DH15" s="19"/>
      <c r="DI15" s="19"/>
      <c r="DJ15" s="19"/>
      <c r="DK15" s="19"/>
      <c r="DL15" s="19"/>
      <c r="DM15" s="19"/>
      <c r="DN15" s="44"/>
      <c r="DO15" s="22"/>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45">
        <f>MEDIAN(I15,K15,P15)</f>
        <v>1639560</v>
      </c>
      <c r="ER15" s="45">
        <f>AVERAGE(I15,K15,P15)</f>
        <v>1633586.6666666667</v>
      </c>
      <c r="ES15" s="45">
        <f>+STDEV(I15,K15,P15)</f>
        <v>369436.21984495985</v>
      </c>
      <c r="ET15" s="46">
        <f>ES15/ER15</f>
        <v>0.22615036433836375</v>
      </c>
      <c r="EU15" s="44">
        <v>1639560</v>
      </c>
      <c r="EV15" s="47">
        <v>0</v>
      </c>
      <c r="EW15" s="44">
        <v>1639560</v>
      </c>
      <c r="EX15" s="103">
        <f t="shared" si="3"/>
        <v>32791200</v>
      </c>
      <c r="EY15" s="26" t="s">
        <v>220</v>
      </c>
    </row>
    <row r="16" spans="1:161" ht="202.5" x14ac:dyDescent="0.35">
      <c r="A16" s="14">
        <v>8</v>
      </c>
      <c r="B16" s="143" t="s">
        <v>114</v>
      </c>
      <c r="C16" s="143" t="s">
        <v>115</v>
      </c>
      <c r="D16" s="41" t="s">
        <v>17</v>
      </c>
      <c r="E16" s="50">
        <v>800</v>
      </c>
      <c r="F16" s="43"/>
      <c r="G16" s="125"/>
      <c r="H16" s="17"/>
      <c r="I16" s="18"/>
      <c r="J16" s="18"/>
      <c r="K16" s="19"/>
      <c r="L16" s="19"/>
      <c r="M16" s="19"/>
      <c r="N16" s="19"/>
      <c r="O16" s="19"/>
      <c r="P16" s="19"/>
      <c r="Q16" s="48">
        <v>26500</v>
      </c>
      <c r="R16" s="48">
        <f>+(Q16*5.1%)+Q16</f>
        <v>27851.5</v>
      </c>
      <c r="S16" s="48">
        <v>27000</v>
      </c>
      <c r="T16" s="48">
        <f>+(S16*5.1%)+S16</f>
        <v>28377</v>
      </c>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44"/>
      <c r="DO16" s="22"/>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45">
        <f>MEDIAN(R16,T16)</f>
        <v>28114.25</v>
      </c>
      <c r="ER16" s="45">
        <f>AVERAGE(R16,T16)</f>
        <v>28114.25</v>
      </c>
      <c r="ES16" s="45">
        <f>+STDEV(R16,T16)</f>
        <v>371.58461351353071</v>
      </c>
      <c r="ET16" s="46">
        <f t="shared" ref="ET16:ET77" si="4">ES16/ER16</f>
        <v>1.3216949181056963E-2</v>
      </c>
      <c r="EU16" s="44">
        <f>EW16/1.08</f>
        <v>26032.407407407405</v>
      </c>
      <c r="EV16" s="44">
        <f>EU16*8%</f>
        <v>2082.5925925925926</v>
      </c>
      <c r="EW16" s="44">
        <f>+ROUNDUP(IF(ET16&lt;15%,ER16,EQ16),0)</f>
        <v>28115</v>
      </c>
      <c r="EX16" s="103">
        <f t="shared" si="3"/>
        <v>22492000</v>
      </c>
      <c r="EY16" s="26" t="s">
        <v>221</v>
      </c>
    </row>
    <row r="17" spans="1:156" ht="216" x14ac:dyDescent="0.35">
      <c r="A17" s="14">
        <v>9</v>
      </c>
      <c r="B17" s="64" t="s">
        <v>118</v>
      </c>
      <c r="C17" s="64" t="s">
        <v>119</v>
      </c>
      <c r="D17" s="41" t="s">
        <v>17</v>
      </c>
      <c r="E17" s="50">
        <v>800</v>
      </c>
      <c r="F17" s="43"/>
      <c r="G17" s="125"/>
      <c r="H17" s="17"/>
      <c r="I17" s="18"/>
      <c r="J17" s="18"/>
      <c r="K17" s="19"/>
      <c r="L17" s="19"/>
      <c r="M17" s="19"/>
      <c r="N17" s="19"/>
      <c r="O17" s="19"/>
      <c r="P17" s="19"/>
      <c r="Q17" s="48">
        <v>38000</v>
      </c>
      <c r="R17" s="48">
        <f>+(Q17*5.1%)+Q17</f>
        <v>39938</v>
      </c>
      <c r="S17" s="48">
        <v>37000</v>
      </c>
      <c r="T17" s="48">
        <f>+(S17*5.1%)+S17</f>
        <v>38887</v>
      </c>
      <c r="U17" s="48">
        <v>29000</v>
      </c>
      <c r="V17" s="48">
        <v>30479</v>
      </c>
      <c r="W17" s="48">
        <v>37000</v>
      </c>
      <c r="X17" s="48">
        <v>38887</v>
      </c>
      <c r="Y17" s="48">
        <v>27000</v>
      </c>
      <c r="Z17" s="48">
        <v>28404</v>
      </c>
      <c r="AA17" s="48">
        <v>27500</v>
      </c>
      <c r="AB17" s="51">
        <v>28903</v>
      </c>
      <c r="AC17" s="48">
        <v>35000</v>
      </c>
      <c r="AD17" s="48">
        <v>36785</v>
      </c>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c r="BO17" s="48"/>
      <c r="BP17" s="48"/>
      <c r="BQ17" s="48"/>
      <c r="BR17" s="48"/>
      <c r="BS17" s="48"/>
      <c r="BT17" s="48"/>
      <c r="BU17" s="48"/>
      <c r="BV17" s="48"/>
      <c r="BW17" s="48"/>
      <c r="BX17" s="48"/>
      <c r="BY17" s="48"/>
      <c r="BZ17" s="48"/>
      <c r="CA17" s="48"/>
      <c r="CB17" s="48"/>
      <c r="CC17" s="48"/>
      <c r="CD17" s="48"/>
      <c r="CE17" s="48"/>
      <c r="CF17" s="48"/>
      <c r="CG17" s="48"/>
      <c r="CH17" s="48"/>
      <c r="CI17" s="48"/>
      <c r="CJ17" s="48"/>
      <c r="CK17" s="48"/>
      <c r="CL17" s="48"/>
      <c r="CM17" s="48"/>
      <c r="CN17" s="48"/>
      <c r="CO17" s="48"/>
      <c r="CP17" s="48"/>
      <c r="CQ17" s="48"/>
      <c r="CR17" s="48"/>
      <c r="CS17" s="48"/>
      <c r="CT17" s="48"/>
      <c r="CU17" s="48"/>
      <c r="CV17" s="48"/>
      <c r="CW17" s="48"/>
      <c r="CX17" s="48"/>
      <c r="CY17" s="48"/>
      <c r="CZ17" s="48"/>
      <c r="DA17" s="48"/>
      <c r="DB17" s="48"/>
      <c r="DC17" s="48"/>
      <c r="DD17" s="48"/>
      <c r="DE17" s="48"/>
      <c r="DF17" s="48"/>
      <c r="DG17" s="48"/>
      <c r="DH17" s="48"/>
      <c r="DI17" s="48"/>
      <c r="DJ17" s="48"/>
      <c r="DK17" s="48"/>
      <c r="DL17" s="48"/>
      <c r="DM17" s="48"/>
      <c r="DN17" s="44"/>
      <c r="DO17" s="22"/>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45">
        <f>MEDIAN(V17,X17,Z17,AB17,AD17,R17,T17)</f>
        <v>36785</v>
      </c>
      <c r="ER17" s="45">
        <f>AVERAGE(V17,X17,Z17,AB17,AD17,R17,T17)</f>
        <v>34611.857142857145</v>
      </c>
      <c r="ES17" s="45">
        <f>+STDEV(V17,X17,Z17,AB17,AD17,R17,T17)</f>
        <v>5129.2151585653992</v>
      </c>
      <c r="ET17" s="46">
        <f t="shared" si="4"/>
        <v>0.14819242831712415</v>
      </c>
      <c r="EU17" s="44">
        <f>EW17/1.08</f>
        <v>32048.148148148146</v>
      </c>
      <c r="EV17" s="44">
        <f>EU17*8%</f>
        <v>2563.8518518518517</v>
      </c>
      <c r="EW17" s="44">
        <f>+ROUNDUP(IF(ET17&lt;15%,ER17,EQ17),0)</f>
        <v>34612</v>
      </c>
      <c r="EX17" s="103">
        <f t="shared" si="3"/>
        <v>27689600</v>
      </c>
      <c r="EY17" s="26" t="s">
        <v>221</v>
      </c>
    </row>
    <row r="18" spans="1:156" ht="40.5" x14ac:dyDescent="0.35">
      <c r="A18" s="61">
        <v>10</v>
      </c>
      <c r="B18" s="143" t="s">
        <v>149</v>
      </c>
      <c r="C18" s="143" t="s">
        <v>240</v>
      </c>
      <c r="D18" s="15" t="s">
        <v>17</v>
      </c>
      <c r="E18" s="65">
        <v>800</v>
      </c>
      <c r="F18" s="63"/>
      <c r="G18" s="125"/>
      <c r="H18" s="17"/>
      <c r="I18" s="18"/>
      <c r="J18" s="18"/>
      <c r="K18" s="19"/>
      <c r="L18" s="19"/>
      <c r="M18" s="19"/>
      <c r="N18" s="19"/>
      <c r="O18" s="19"/>
      <c r="P18" s="19"/>
      <c r="Q18" s="48">
        <v>2700</v>
      </c>
      <c r="R18" s="48">
        <v>2837.7</v>
      </c>
      <c r="S18" s="48">
        <v>2900</v>
      </c>
      <c r="T18" s="48">
        <v>3047.9</v>
      </c>
      <c r="U18" s="48">
        <v>2400</v>
      </c>
      <c r="V18" s="48">
        <v>2522</v>
      </c>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c r="BT18" s="19"/>
      <c r="BU18" s="19"/>
      <c r="BV18" s="19"/>
      <c r="BW18" s="19"/>
      <c r="BX18" s="19"/>
      <c r="BY18" s="19"/>
      <c r="BZ18" s="19"/>
      <c r="CA18" s="19"/>
      <c r="CB18" s="19"/>
      <c r="CC18" s="19"/>
      <c r="CD18" s="19"/>
      <c r="CE18" s="19"/>
      <c r="CF18" s="19"/>
      <c r="CG18" s="19"/>
      <c r="CH18" s="19"/>
      <c r="CI18" s="19"/>
      <c r="CJ18" s="19"/>
      <c r="CK18" s="19"/>
      <c r="CL18" s="19"/>
      <c r="CM18" s="19"/>
      <c r="CN18" s="19"/>
      <c r="CO18" s="19"/>
      <c r="CP18" s="19"/>
      <c r="CQ18" s="19"/>
      <c r="CR18" s="19"/>
      <c r="CS18" s="19"/>
      <c r="CT18" s="19"/>
      <c r="CU18" s="19"/>
      <c r="CV18" s="19"/>
      <c r="CW18" s="19"/>
      <c r="CX18" s="19"/>
      <c r="CY18" s="19"/>
      <c r="CZ18" s="19"/>
      <c r="DA18" s="19"/>
      <c r="DB18" s="19"/>
      <c r="DC18" s="19"/>
      <c r="DD18" s="19"/>
      <c r="DE18" s="19"/>
      <c r="DF18" s="19"/>
      <c r="DG18" s="19"/>
      <c r="DH18" s="19"/>
      <c r="DI18" s="19"/>
      <c r="DJ18" s="19"/>
      <c r="DK18" s="19"/>
      <c r="DL18" s="19"/>
      <c r="DM18" s="19"/>
      <c r="DN18" s="44"/>
      <c r="DO18" s="22"/>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45">
        <v>2700</v>
      </c>
      <c r="ER18" s="45">
        <v>2756.6333333333332</v>
      </c>
      <c r="ES18" s="45">
        <v>267.48495907869915</v>
      </c>
      <c r="ET18" s="46">
        <v>9.70332020019707E-2</v>
      </c>
      <c r="EU18" s="44">
        <v>2757</v>
      </c>
      <c r="EV18" s="47">
        <v>0</v>
      </c>
      <c r="EW18" s="44">
        <v>2757</v>
      </c>
      <c r="EX18" s="103">
        <f t="shared" si="3"/>
        <v>2205600</v>
      </c>
      <c r="EY18" s="26" t="s">
        <v>221</v>
      </c>
    </row>
    <row r="19" spans="1:156" ht="65.25" customHeight="1" x14ac:dyDescent="0.35">
      <c r="A19" s="14">
        <v>11</v>
      </c>
      <c r="B19" s="221" t="s">
        <v>53</v>
      </c>
      <c r="C19" s="143" t="s">
        <v>15</v>
      </c>
      <c r="D19" s="113" t="s">
        <v>17</v>
      </c>
      <c r="E19" s="50">
        <v>800</v>
      </c>
      <c r="F19" s="43"/>
      <c r="G19" s="125"/>
      <c r="H19" s="17"/>
      <c r="I19" s="18"/>
      <c r="J19" s="18"/>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9"/>
      <c r="BT19" s="19"/>
      <c r="BU19" s="19"/>
      <c r="BV19" s="19"/>
      <c r="BW19" s="19"/>
      <c r="BX19" s="19"/>
      <c r="BY19" s="19"/>
      <c r="BZ19" s="19"/>
      <c r="CA19" s="19"/>
      <c r="CB19" s="19"/>
      <c r="CC19" s="19"/>
      <c r="CD19" s="19"/>
      <c r="CE19" s="19"/>
      <c r="CF19" s="19"/>
      <c r="CG19" s="19"/>
      <c r="CH19" s="19"/>
      <c r="CI19" s="19"/>
      <c r="CJ19" s="19"/>
      <c r="CK19" s="19"/>
      <c r="CL19" s="19"/>
      <c r="CM19" s="19"/>
      <c r="CN19" s="19"/>
      <c r="CO19" s="19"/>
      <c r="CP19" s="19"/>
      <c r="CQ19" s="19"/>
      <c r="CR19" s="19"/>
      <c r="CS19" s="19"/>
      <c r="CT19" s="19"/>
      <c r="CU19" s="19"/>
      <c r="CV19" s="19"/>
      <c r="CW19" s="19"/>
      <c r="CX19" s="19"/>
      <c r="CY19" s="19"/>
      <c r="CZ19" s="19"/>
      <c r="DA19" s="19"/>
      <c r="DB19" s="19"/>
      <c r="DC19" s="19"/>
      <c r="DD19" s="19"/>
      <c r="DE19" s="19"/>
      <c r="DF19" s="19"/>
      <c r="DG19" s="19"/>
      <c r="DH19" s="19"/>
      <c r="DI19" s="19"/>
      <c r="DJ19" s="19"/>
      <c r="DK19" s="19"/>
      <c r="DL19" s="19"/>
      <c r="DM19" s="19"/>
      <c r="DN19" s="44">
        <v>9520</v>
      </c>
      <c r="DO19" s="22"/>
      <c r="DP19" s="44">
        <v>11900</v>
      </c>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5">
        <f>MEDIAN(DN19,DP19)</f>
        <v>10710</v>
      </c>
      <c r="ER19" s="45">
        <f>AVERAGE(DN19,DP19)</f>
        <v>10710</v>
      </c>
      <c r="ES19" s="45">
        <f>+STDEV(DN19,DP19)</f>
        <v>1682.9141392239831</v>
      </c>
      <c r="ET19" s="46">
        <f t="shared" si="4"/>
        <v>0.15713484026367722</v>
      </c>
      <c r="EU19" s="44">
        <f>EW19/1.19</f>
        <v>9000</v>
      </c>
      <c r="EV19" s="44">
        <f>EU19*19%</f>
        <v>1710</v>
      </c>
      <c r="EW19" s="44">
        <f>+ROUNDUP(IF(ET19&lt;15%,ER19,EQ19),0)</f>
        <v>10710</v>
      </c>
      <c r="EX19" s="103">
        <f t="shared" si="3"/>
        <v>8568000</v>
      </c>
      <c r="EY19" s="26" t="s">
        <v>219</v>
      </c>
    </row>
    <row r="20" spans="1:156" s="2" customFormat="1" ht="121.9" x14ac:dyDescent="0.45">
      <c r="A20" s="14">
        <v>12</v>
      </c>
      <c r="B20" s="141" t="s">
        <v>189</v>
      </c>
      <c r="C20" s="143" t="s">
        <v>284</v>
      </c>
      <c r="D20" s="41" t="s">
        <v>17</v>
      </c>
      <c r="E20" s="50">
        <v>800</v>
      </c>
      <c r="F20" s="43"/>
      <c r="G20" s="125"/>
      <c r="H20" s="17"/>
      <c r="I20" s="18"/>
      <c r="J20" s="18"/>
      <c r="K20" s="19"/>
      <c r="L20" s="19"/>
      <c r="M20" s="19"/>
      <c r="N20" s="19"/>
      <c r="O20" s="19"/>
      <c r="P20" s="19"/>
      <c r="Q20" s="48"/>
      <c r="R20" s="16"/>
      <c r="S20" s="48"/>
      <c r="T20" s="16"/>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c r="BM20" s="19"/>
      <c r="BN20" s="19"/>
      <c r="BO20" s="19"/>
      <c r="BP20" s="19"/>
      <c r="BQ20" s="19"/>
      <c r="BR20" s="19"/>
      <c r="BS20" s="19"/>
      <c r="BT20" s="19"/>
      <c r="BU20" s="19"/>
      <c r="BV20" s="19"/>
      <c r="BW20" s="19"/>
      <c r="BX20" s="19"/>
      <c r="BY20" s="19"/>
      <c r="BZ20" s="19"/>
      <c r="CA20" s="19"/>
      <c r="CB20" s="19"/>
      <c r="CC20" s="19"/>
      <c r="CD20" s="19"/>
      <c r="CE20" s="19"/>
      <c r="CF20" s="19"/>
      <c r="CG20" s="19"/>
      <c r="CH20" s="19"/>
      <c r="CI20" s="19"/>
      <c r="CJ20" s="19"/>
      <c r="CK20" s="19"/>
      <c r="CL20" s="49"/>
      <c r="CM20" s="49"/>
      <c r="CN20" s="49"/>
      <c r="CO20" s="49"/>
      <c r="CP20" s="49"/>
      <c r="CQ20" s="49"/>
      <c r="CR20" s="49"/>
      <c r="CS20" s="49"/>
      <c r="CT20" s="49"/>
      <c r="CU20" s="49"/>
      <c r="CV20" s="49"/>
      <c r="CW20" s="49"/>
      <c r="CX20" s="49"/>
      <c r="CY20" s="49"/>
      <c r="CZ20" s="49"/>
      <c r="DA20" s="49"/>
      <c r="DB20" s="49"/>
      <c r="DC20" s="49"/>
      <c r="DD20" s="49"/>
      <c r="DE20" s="49"/>
      <c r="DF20" s="49"/>
      <c r="DG20" s="49"/>
      <c r="DH20" s="49"/>
      <c r="DI20" s="49"/>
      <c r="DJ20" s="49"/>
      <c r="DK20" s="49"/>
      <c r="DL20" s="49"/>
      <c r="DM20" s="49"/>
      <c r="DN20" s="44"/>
      <c r="DO20" s="22"/>
      <c r="DP20" s="23"/>
      <c r="DQ20" s="23"/>
      <c r="DR20" s="23"/>
      <c r="DS20" s="23"/>
      <c r="DT20" s="23"/>
      <c r="DU20" s="23"/>
      <c r="DV20" s="23"/>
      <c r="DW20" s="23">
        <v>30000</v>
      </c>
      <c r="DX20" s="23"/>
      <c r="DY20" s="23"/>
      <c r="DZ20" s="23"/>
      <c r="EA20" s="23"/>
      <c r="EB20" s="23"/>
      <c r="EC20" s="23"/>
      <c r="ED20" s="23"/>
      <c r="EE20" s="23"/>
      <c r="EF20" s="202">
        <v>28000</v>
      </c>
      <c r="EG20" s="202"/>
      <c r="EH20" s="202"/>
      <c r="EI20" s="202"/>
      <c r="EJ20" s="202"/>
      <c r="EK20" s="202"/>
      <c r="EL20" s="202"/>
      <c r="EM20" s="202"/>
      <c r="EN20" s="202"/>
      <c r="EO20" s="202"/>
      <c r="EP20" s="202"/>
      <c r="EQ20" s="45">
        <f>MEDIAN(DW20,EF20)</f>
        <v>29000</v>
      </c>
      <c r="ER20" s="45">
        <f>AVERAGE(DW20,EF20)</f>
        <v>29000</v>
      </c>
      <c r="ES20" s="45">
        <f>+STDEV(DW20,EF20)</f>
        <v>1414.2135623730951</v>
      </c>
      <c r="ET20" s="46">
        <f t="shared" ref="ET20:ET21" si="5">ES20/ER20</f>
        <v>4.8765984909417075E-2</v>
      </c>
      <c r="EU20" s="44">
        <f>EW20/1.19</f>
        <v>24369.747899159665</v>
      </c>
      <c r="EV20" s="44">
        <f>EU20*19%</f>
        <v>4630.2521008403364</v>
      </c>
      <c r="EW20" s="44">
        <f>+ROUNDUP(IF(ET20&lt;15%,ER20,EQ20),0)</f>
        <v>29000</v>
      </c>
      <c r="EX20" s="103">
        <f t="shared" si="3"/>
        <v>23200000</v>
      </c>
      <c r="EY20" s="26" t="s">
        <v>221</v>
      </c>
    </row>
    <row r="21" spans="1:156" ht="40.5" x14ac:dyDescent="0.35">
      <c r="A21" s="27">
        <v>13</v>
      </c>
      <c r="B21" s="143" t="s">
        <v>55</v>
      </c>
      <c r="C21" s="130" t="s">
        <v>176</v>
      </c>
      <c r="D21" s="26" t="s">
        <v>17</v>
      </c>
      <c r="E21" s="26">
        <v>800</v>
      </c>
      <c r="F21" s="63"/>
      <c r="G21" s="125"/>
      <c r="H21" s="17"/>
      <c r="I21" s="18"/>
      <c r="J21" s="18"/>
      <c r="K21" s="19"/>
      <c r="L21" s="19"/>
      <c r="M21" s="19"/>
      <c r="N21" s="19"/>
      <c r="O21" s="19"/>
      <c r="P21" s="19"/>
      <c r="Q21" s="49">
        <v>22610</v>
      </c>
      <c r="R21" s="16">
        <f>+(Q21*5.1%)+Q21</f>
        <v>23763.11</v>
      </c>
      <c r="S21" s="49">
        <v>23800</v>
      </c>
      <c r="T21" s="16">
        <f>+(S21*5.1%)+S21</f>
        <v>25013.8</v>
      </c>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49">
        <v>24000</v>
      </c>
      <c r="AW21" s="49">
        <f t="shared" ref="AW21" si="6">+(AV21*5.1%)+AV21</f>
        <v>25224</v>
      </c>
      <c r="AX21" s="19"/>
      <c r="AY21" s="19"/>
      <c r="AZ21" s="19"/>
      <c r="BA21" s="19"/>
      <c r="BB21" s="19"/>
      <c r="BC21" s="19"/>
      <c r="BD21" s="19"/>
      <c r="BE21" s="19"/>
      <c r="BF21" s="19"/>
      <c r="BG21" s="19"/>
      <c r="BH21" s="19"/>
      <c r="BI21" s="19"/>
      <c r="BJ21" s="19"/>
      <c r="BK21" s="19"/>
      <c r="BL21" s="19"/>
      <c r="BM21" s="19"/>
      <c r="BN21" s="19"/>
      <c r="BO21" s="19"/>
      <c r="BP21" s="19"/>
      <c r="BQ21" s="19"/>
      <c r="BR21" s="19"/>
      <c r="BS21" s="19"/>
      <c r="BT21" s="19"/>
      <c r="BU21" s="19"/>
      <c r="BV21" s="19"/>
      <c r="BW21" s="49">
        <v>17800</v>
      </c>
      <c r="BX21" s="49"/>
      <c r="BY21" s="49"/>
      <c r="BZ21" s="49"/>
      <c r="CA21" s="49"/>
      <c r="CB21" s="49"/>
      <c r="CC21" s="49"/>
      <c r="CD21" s="49"/>
      <c r="CE21" s="49"/>
      <c r="CF21" s="49"/>
      <c r="CG21" s="49"/>
      <c r="CH21" s="49"/>
      <c r="CI21" s="49"/>
      <c r="CJ21" s="49"/>
      <c r="CK21" s="49"/>
      <c r="CL21" s="49"/>
      <c r="CM21" s="49"/>
      <c r="CN21" s="49"/>
      <c r="CO21" s="49"/>
      <c r="CP21" s="49"/>
      <c r="CQ21" s="49"/>
      <c r="CR21" s="49"/>
      <c r="CS21" s="49"/>
      <c r="CT21" s="49"/>
      <c r="CU21" s="49"/>
      <c r="CV21" s="49"/>
      <c r="CW21" s="49"/>
      <c r="CX21" s="49"/>
      <c r="CY21" s="49"/>
      <c r="CZ21" s="49"/>
      <c r="DA21" s="49"/>
      <c r="DB21" s="49"/>
      <c r="DC21" s="49"/>
      <c r="DD21" s="49"/>
      <c r="DE21" s="49"/>
      <c r="DF21" s="49"/>
      <c r="DG21" s="49"/>
      <c r="DH21" s="49"/>
      <c r="DI21" s="49"/>
      <c r="DJ21" s="49"/>
      <c r="DK21" s="49"/>
      <c r="DL21" s="49"/>
      <c r="DM21" s="49"/>
      <c r="DN21" s="44"/>
      <c r="DO21" s="22"/>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45">
        <f>MEDIAN(R21,T21,AW21,BW21)</f>
        <v>24388.455000000002</v>
      </c>
      <c r="ER21" s="45">
        <f>AVERAGE(R21,T21,AW21,BW21)</f>
        <v>22950.227500000001</v>
      </c>
      <c r="ES21" s="45">
        <f>+STDEV(R21,T21,AW21,BW21)</f>
        <v>3493.5175256024731</v>
      </c>
      <c r="ET21" s="46">
        <f t="shared" si="5"/>
        <v>0.15222147691575053</v>
      </c>
      <c r="EU21" s="44">
        <f t="shared" ref="EU21" si="7">EW21/1.19</f>
        <v>20494.957983193279</v>
      </c>
      <c r="EV21" s="44">
        <f t="shared" ref="EV21" si="8">EU21*19%</f>
        <v>3894.042016806723</v>
      </c>
      <c r="EW21" s="44">
        <f t="shared" ref="EW21" si="9">+ROUNDUP(IF(ET21&lt;15%,ER21,EQ21),0)</f>
        <v>24389</v>
      </c>
      <c r="EX21" s="103">
        <f t="shared" si="3"/>
        <v>19511200</v>
      </c>
      <c r="EY21" s="26" t="s">
        <v>109</v>
      </c>
    </row>
    <row r="22" spans="1:156" ht="75" customHeight="1" x14ac:dyDescent="0.35">
      <c r="A22" s="14">
        <v>14</v>
      </c>
      <c r="B22" s="141" t="s">
        <v>14</v>
      </c>
      <c r="C22" s="143" t="s">
        <v>382</v>
      </c>
      <c r="D22" s="41" t="s">
        <v>17</v>
      </c>
      <c r="E22" s="50">
        <v>20</v>
      </c>
      <c r="F22" s="43"/>
      <c r="G22" s="125"/>
      <c r="H22" s="17"/>
      <c r="I22" s="18"/>
      <c r="J22" s="18"/>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c r="BM22" s="19"/>
      <c r="BN22" s="19"/>
      <c r="BO22" s="19"/>
      <c r="BP22" s="19"/>
      <c r="BQ22" s="19"/>
      <c r="BR22" s="19"/>
      <c r="BS22" s="19"/>
      <c r="BT22" s="19"/>
      <c r="BU22" s="19"/>
      <c r="BV22" s="19"/>
      <c r="BW22" s="19"/>
      <c r="BX22" s="19"/>
      <c r="BY22" s="19"/>
      <c r="BZ22" s="19"/>
      <c r="CA22" s="19"/>
      <c r="CB22" s="19"/>
      <c r="CC22" s="19"/>
      <c r="CD22" s="19"/>
      <c r="CE22" s="19"/>
      <c r="CF22" s="19"/>
      <c r="CG22" s="19"/>
      <c r="CH22" s="19"/>
      <c r="CI22" s="19"/>
      <c r="CJ22" s="19"/>
      <c r="CK22" s="19"/>
      <c r="CL22" s="19"/>
      <c r="CM22" s="19"/>
      <c r="CN22" s="19"/>
      <c r="CO22" s="19"/>
      <c r="CP22" s="19"/>
      <c r="CQ22" s="19"/>
      <c r="CR22" s="19"/>
      <c r="CS22" s="19"/>
      <c r="CT22" s="19"/>
      <c r="CU22" s="19"/>
      <c r="CV22" s="19"/>
      <c r="CW22" s="19"/>
      <c r="CX22" s="19"/>
      <c r="CY22" s="19"/>
      <c r="CZ22" s="19"/>
      <c r="DA22" s="19"/>
      <c r="DB22" s="19"/>
      <c r="DC22" s="54"/>
      <c r="DD22" s="54"/>
      <c r="DE22" s="54"/>
      <c r="DF22" s="54"/>
      <c r="DG22" s="54"/>
      <c r="DH22" s="54"/>
      <c r="DI22" s="54"/>
      <c r="DJ22" s="54"/>
      <c r="DK22" s="54"/>
      <c r="DL22" s="54"/>
      <c r="DM22" s="54"/>
      <c r="DN22" s="44"/>
      <c r="DO22" s="22"/>
      <c r="DP22" s="23"/>
      <c r="DQ22" s="23"/>
      <c r="DR22" s="23"/>
      <c r="DS22" s="23"/>
      <c r="DT22" s="23"/>
      <c r="DU22" s="23"/>
      <c r="DV22" s="23"/>
      <c r="DW22" s="23"/>
      <c r="DX22" s="203">
        <v>757735</v>
      </c>
      <c r="DY22" s="23">
        <f>+(DX22*5.1%)+DX22</f>
        <v>796379.48499999999</v>
      </c>
      <c r="DZ22" s="23">
        <v>690000</v>
      </c>
      <c r="EA22" s="23">
        <f>+(DZ22*5.1%)+DZ22</f>
        <v>725190</v>
      </c>
      <c r="EB22" s="23"/>
      <c r="EC22" s="23"/>
      <c r="ED22" s="23"/>
      <c r="EE22" s="23"/>
      <c r="EF22" s="23"/>
      <c r="EG22" s="23"/>
      <c r="EH22" s="23"/>
      <c r="EI22" s="23"/>
      <c r="EJ22" s="23"/>
      <c r="EK22" s="23"/>
      <c r="EL22" s="23"/>
      <c r="EM22" s="23"/>
      <c r="EN22" s="23"/>
      <c r="EO22" s="23"/>
      <c r="EP22" s="23"/>
      <c r="EQ22" s="45">
        <f>MEDIAN(DY22,EA22)</f>
        <v>760784.74249999993</v>
      </c>
      <c r="ER22" s="45">
        <f>AVERAGE(DY22,EA22)</f>
        <v>760784.74249999993</v>
      </c>
      <c r="ES22" s="45">
        <f>+STDEV(DY22,EA22)</f>
        <v>50338.567592678002</v>
      </c>
      <c r="ET22" s="46">
        <f t="shared" si="4"/>
        <v>6.6166636606382792E-2</v>
      </c>
      <c r="EU22" s="44">
        <f>EW22/1.19</f>
        <v>639315.12605042022</v>
      </c>
      <c r="EV22" s="44">
        <f>EU22*19%</f>
        <v>121469.87394957984</v>
      </c>
      <c r="EW22" s="44">
        <f>+ROUNDUP(IF(ET22&lt;15%,ER22,EQ22),0)</f>
        <v>760785</v>
      </c>
      <c r="EX22" s="103">
        <f t="shared" si="3"/>
        <v>15215700</v>
      </c>
      <c r="EY22" s="26" t="s">
        <v>109</v>
      </c>
    </row>
    <row r="23" spans="1:156" ht="256.5" x14ac:dyDescent="0.35">
      <c r="A23" s="14">
        <v>15</v>
      </c>
      <c r="B23" s="141" t="s">
        <v>201</v>
      </c>
      <c r="C23" s="143" t="s">
        <v>202</v>
      </c>
      <c r="D23" s="41" t="s">
        <v>17</v>
      </c>
      <c r="E23" s="50">
        <v>20</v>
      </c>
      <c r="F23" s="43"/>
      <c r="G23" s="125"/>
      <c r="H23" s="17"/>
      <c r="I23" s="18"/>
      <c r="J23" s="18"/>
      <c r="K23" s="19"/>
      <c r="L23" s="19"/>
      <c r="M23" s="19"/>
      <c r="N23" s="19"/>
      <c r="O23" s="19"/>
      <c r="P23" s="19"/>
      <c r="Q23" s="19"/>
      <c r="R23" s="19"/>
      <c r="S23" s="19"/>
      <c r="T23" s="19"/>
      <c r="U23" s="19"/>
      <c r="V23" s="19"/>
      <c r="W23" s="19"/>
      <c r="X23" s="19"/>
      <c r="Y23" s="19"/>
      <c r="Z23" s="19"/>
      <c r="AA23" s="19"/>
      <c r="AB23" s="19"/>
      <c r="AC23" s="19"/>
      <c r="AD23" s="19"/>
      <c r="AE23" s="48">
        <v>230000</v>
      </c>
      <c r="AF23" s="48">
        <v>241730</v>
      </c>
      <c r="AG23" s="48">
        <v>250000</v>
      </c>
      <c r="AH23" s="48">
        <v>262750</v>
      </c>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c r="BO23" s="48"/>
      <c r="BP23" s="48"/>
      <c r="BQ23" s="48"/>
      <c r="BR23" s="48"/>
      <c r="BS23" s="48"/>
      <c r="BT23" s="48"/>
      <c r="BU23" s="48"/>
      <c r="BV23" s="48"/>
      <c r="BW23" s="48"/>
      <c r="BX23" s="48"/>
      <c r="BY23" s="48"/>
      <c r="BZ23" s="48"/>
      <c r="CA23" s="48"/>
      <c r="CB23" s="48"/>
      <c r="CC23" s="48"/>
      <c r="CD23" s="48"/>
      <c r="CE23" s="48"/>
      <c r="CF23" s="48"/>
      <c r="CG23" s="48"/>
      <c r="CH23" s="48"/>
      <c r="CI23" s="48"/>
      <c r="CJ23" s="48"/>
      <c r="CK23" s="48"/>
      <c r="CL23" s="48"/>
      <c r="CM23" s="48"/>
      <c r="CN23" s="48"/>
      <c r="CO23" s="48"/>
      <c r="CP23" s="48"/>
      <c r="CQ23" s="48"/>
      <c r="CR23" s="48"/>
      <c r="CS23" s="48"/>
      <c r="CT23" s="48"/>
      <c r="CU23" s="48"/>
      <c r="CV23" s="48"/>
      <c r="CW23" s="48"/>
      <c r="CX23" s="48"/>
      <c r="CY23" s="48"/>
      <c r="CZ23" s="48"/>
      <c r="DA23" s="48"/>
      <c r="DB23" s="48"/>
      <c r="DC23" s="48"/>
      <c r="DD23" s="48"/>
      <c r="DE23" s="48"/>
      <c r="DF23" s="48"/>
      <c r="DG23" s="48"/>
      <c r="DH23" s="48"/>
      <c r="DI23" s="48"/>
      <c r="DJ23" s="48"/>
      <c r="DK23" s="48"/>
      <c r="DL23" s="48"/>
      <c r="DM23" s="48"/>
      <c r="DN23" s="44"/>
      <c r="DO23" s="22"/>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45">
        <f>MEDIAN(AF23,AH23)</f>
        <v>252240</v>
      </c>
      <c r="ER23" s="45">
        <f>AVERAGE(AF23,AH23)</f>
        <v>252240</v>
      </c>
      <c r="ES23" s="45">
        <f>+STDEV(AF23,AH23)</f>
        <v>14863.384540541228</v>
      </c>
      <c r="ET23" s="46">
        <f t="shared" si="4"/>
        <v>5.892556509887896E-2</v>
      </c>
      <c r="EU23" s="44">
        <f>EW23/1.19</f>
        <v>211966.38655462186</v>
      </c>
      <c r="EV23" s="44">
        <f>EU23*19%</f>
        <v>40273.613445378156</v>
      </c>
      <c r="EW23" s="44">
        <f>+ROUNDUP(IF(ET23&lt;15%,ER23,EQ23),0)</f>
        <v>252240</v>
      </c>
      <c r="EX23" s="103">
        <f t="shared" si="3"/>
        <v>5044800</v>
      </c>
      <c r="EY23" s="26" t="s">
        <v>221</v>
      </c>
    </row>
    <row r="24" spans="1:156" ht="15.4" customHeight="1" x14ac:dyDescent="0.35">
      <c r="A24" s="231" t="s">
        <v>18</v>
      </c>
      <c r="B24" s="232"/>
      <c r="C24" s="232"/>
      <c r="D24" s="232"/>
      <c r="E24" s="232"/>
      <c r="F24" s="233"/>
      <c r="G24" s="126"/>
      <c r="H24" s="28"/>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29"/>
      <c r="BJ24" s="29"/>
      <c r="BK24" s="29"/>
      <c r="BL24" s="29"/>
      <c r="BM24" s="29"/>
      <c r="BN24" s="29"/>
      <c r="BO24" s="29"/>
      <c r="BP24" s="29"/>
      <c r="BQ24" s="29"/>
      <c r="BR24" s="29"/>
      <c r="BS24" s="29"/>
      <c r="BT24" s="29"/>
      <c r="BU24" s="29"/>
      <c r="BV24" s="29"/>
      <c r="BW24" s="29"/>
      <c r="BX24" s="29"/>
      <c r="BY24" s="29"/>
      <c r="BZ24" s="29"/>
      <c r="CA24" s="29"/>
      <c r="CB24" s="29"/>
      <c r="CC24" s="29"/>
      <c r="CD24" s="29"/>
      <c r="CE24" s="29"/>
      <c r="CF24" s="29"/>
      <c r="CG24" s="29"/>
      <c r="CH24" s="29"/>
      <c r="CI24" s="29"/>
      <c r="CJ24" s="29"/>
      <c r="CK24" s="29"/>
      <c r="CL24" s="29"/>
      <c r="CM24" s="29"/>
      <c r="CN24" s="29"/>
      <c r="CO24" s="29"/>
      <c r="CP24" s="29"/>
      <c r="CQ24" s="29"/>
      <c r="CR24" s="29"/>
      <c r="CS24" s="29"/>
      <c r="CT24" s="29"/>
      <c r="CU24" s="29"/>
      <c r="CV24" s="29"/>
      <c r="CW24" s="29"/>
      <c r="CX24" s="29"/>
      <c r="CY24" s="29"/>
      <c r="CZ24" s="29"/>
      <c r="DA24" s="29"/>
      <c r="DB24" s="29"/>
      <c r="DC24" s="29"/>
      <c r="DD24" s="29"/>
      <c r="DE24" s="29"/>
      <c r="DF24" s="29"/>
      <c r="DG24" s="29"/>
      <c r="DH24" s="29"/>
      <c r="DI24" s="29"/>
      <c r="DJ24" s="29"/>
      <c r="DK24" s="29"/>
      <c r="DL24" s="29"/>
      <c r="DM24" s="29"/>
      <c r="DN24" s="212"/>
      <c r="DO24" s="30"/>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55"/>
      <c r="ER24" s="55"/>
      <c r="ES24" s="55"/>
      <c r="ET24" s="56"/>
      <c r="EU24" s="57"/>
      <c r="EV24" s="57"/>
      <c r="EW24" s="58"/>
      <c r="EX24" s="59"/>
      <c r="EY24" s="60"/>
    </row>
    <row r="25" spans="1:156" ht="99" customHeight="1" x14ac:dyDescent="0.35">
      <c r="A25" s="61">
        <v>16</v>
      </c>
      <c r="B25" s="64" t="s">
        <v>126</v>
      </c>
      <c r="C25" s="64" t="s">
        <v>381</v>
      </c>
      <c r="D25" s="62" t="s">
        <v>160</v>
      </c>
      <c r="E25" s="62">
        <v>1</v>
      </c>
      <c r="F25" s="63"/>
      <c r="G25" s="125"/>
      <c r="H25" s="17"/>
      <c r="I25" s="18"/>
      <c r="J25" s="18"/>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48">
        <v>2500000</v>
      </c>
      <c r="AL25" s="48">
        <v>2627500</v>
      </c>
      <c r="AM25" s="49">
        <v>2789000</v>
      </c>
      <c r="AN25" s="49">
        <v>2650000</v>
      </c>
      <c r="AO25" s="49"/>
      <c r="AP25" s="49"/>
      <c r="AQ25" s="49"/>
      <c r="AR25" s="49"/>
      <c r="AS25" s="49"/>
      <c r="AT25" s="49"/>
      <c r="AU25" s="49"/>
      <c r="AV25" s="49"/>
      <c r="AW25" s="49"/>
      <c r="AX25" s="49"/>
      <c r="AY25" s="49"/>
      <c r="AZ25" s="49"/>
      <c r="BA25" s="49"/>
      <c r="BB25" s="49"/>
      <c r="BC25" s="49"/>
      <c r="BD25" s="49"/>
      <c r="BE25" s="49"/>
      <c r="BF25" s="49"/>
      <c r="BG25" s="49"/>
      <c r="BH25" s="49"/>
      <c r="BI25" s="49"/>
      <c r="BJ25" s="49"/>
      <c r="BK25" s="49"/>
      <c r="BL25" s="49"/>
      <c r="BM25" s="49"/>
      <c r="BN25" s="49"/>
      <c r="BO25" s="49"/>
      <c r="BP25" s="49"/>
      <c r="BQ25" s="49"/>
      <c r="BR25" s="49"/>
      <c r="BS25" s="49"/>
      <c r="BT25" s="49"/>
      <c r="BU25" s="49"/>
      <c r="BV25" s="49"/>
      <c r="BW25" s="49"/>
      <c r="BX25" s="49"/>
      <c r="BY25" s="49"/>
      <c r="BZ25" s="49"/>
      <c r="CA25" s="49"/>
      <c r="CB25" s="49"/>
      <c r="CC25" s="49"/>
      <c r="CD25" s="49"/>
      <c r="CE25" s="49"/>
      <c r="CF25" s="49"/>
      <c r="CG25" s="49"/>
      <c r="CH25" s="49"/>
      <c r="CI25" s="49"/>
      <c r="CJ25" s="49"/>
      <c r="CK25" s="49"/>
      <c r="CL25" s="49"/>
      <c r="CM25" s="49"/>
      <c r="CN25" s="49"/>
      <c r="CO25" s="49"/>
      <c r="CP25" s="49"/>
      <c r="CQ25" s="49"/>
      <c r="CR25" s="49"/>
      <c r="CS25" s="49"/>
      <c r="CT25" s="49"/>
      <c r="CU25" s="49"/>
      <c r="CV25" s="49"/>
      <c r="CW25" s="49"/>
      <c r="CX25" s="49"/>
      <c r="CY25" s="49"/>
      <c r="CZ25" s="49"/>
      <c r="DA25" s="49"/>
      <c r="DB25" s="49"/>
      <c r="DC25" s="49"/>
      <c r="DD25" s="49"/>
      <c r="DE25" s="49"/>
      <c r="DF25" s="49"/>
      <c r="DG25" s="49"/>
      <c r="DH25" s="49"/>
      <c r="DI25" s="49"/>
      <c r="DJ25" s="49"/>
      <c r="DK25" s="49"/>
      <c r="DL25" s="49"/>
      <c r="DM25" s="49"/>
      <c r="DN25" s="44"/>
      <c r="DO25" s="22"/>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45">
        <f>MEDIAN(AL25,AM25,AN25)</f>
        <v>2650000</v>
      </c>
      <c r="ER25" s="45">
        <f>AVERAGE(AL25,AM25,AN25)</f>
        <v>2688833.3333333335</v>
      </c>
      <c r="ES25" s="45">
        <f>+STDEV(AL25,AM25,AN25)</f>
        <v>87473.329268602407</v>
      </c>
      <c r="ET25" s="46">
        <f t="shared" si="4"/>
        <v>3.253207559732315E-2</v>
      </c>
      <c r="EU25" s="44">
        <f t="shared" ref="EU25:EU33" si="10">EW25/1.19</f>
        <v>2259524.3697478995</v>
      </c>
      <c r="EV25" s="44">
        <f t="shared" ref="EV25:EV33" si="11">EU25*19%</f>
        <v>429309.63025210088</v>
      </c>
      <c r="EW25" s="44">
        <f t="shared" ref="EW25:EW33" si="12">+ROUNDUP(IF(ET25&lt;15%,ER25,EQ25),0)</f>
        <v>2688834</v>
      </c>
      <c r="EX25" s="103">
        <f t="shared" ref="EX25:EX40" si="13">+EW25*E25</f>
        <v>2688834</v>
      </c>
      <c r="EY25" s="26" t="s">
        <v>221</v>
      </c>
    </row>
    <row r="26" spans="1:156" ht="27" x14ac:dyDescent="0.35">
      <c r="A26" s="61">
        <v>17</v>
      </c>
      <c r="B26" s="145" t="s">
        <v>159</v>
      </c>
      <c r="C26" s="64" t="s">
        <v>406</v>
      </c>
      <c r="D26" s="62" t="s">
        <v>160</v>
      </c>
      <c r="E26" s="62">
        <v>1</v>
      </c>
      <c r="F26" s="63"/>
      <c r="G26" s="125"/>
      <c r="H26" s="17"/>
      <c r="I26" s="18"/>
      <c r="J26" s="18"/>
      <c r="K26" s="19"/>
      <c r="L26" s="19"/>
      <c r="M26" s="19"/>
      <c r="N26" s="19"/>
      <c r="O26" s="19"/>
      <c r="P26" s="19"/>
      <c r="Q26" s="19"/>
      <c r="R26" s="19"/>
      <c r="S26" s="19"/>
      <c r="T26" s="19"/>
      <c r="U26" s="19"/>
      <c r="V26" s="19"/>
      <c r="W26" s="19"/>
      <c r="X26" s="19"/>
      <c r="Y26" s="19"/>
      <c r="Z26" s="19"/>
      <c r="AA26" s="19"/>
      <c r="AB26" s="19"/>
      <c r="AC26" s="19"/>
      <c r="AD26" s="19"/>
      <c r="AE26" s="48">
        <v>3800000</v>
      </c>
      <c r="AF26" s="48">
        <v>3993800</v>
      </c>
      <c r="AG26" s="48">
        <v>3800000</v>
      </c>
      <c r="AH26" s="48">
        <v>3993800</v>
      </c>
      <c r="AI26" s="48">
        <v>3900000</v>
      </c>
      <c r="AJ26" s="48">
        <v>4098900</v>
      </c>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c r="BT26" s="19"/>
      <c r="BU26" s="19"/>
      <c r="BV26" s="19"/>
      <c r="BW26" s="19"/>
      <c r="BX26" s="19"/>
      <c r="BY26" s="19"/>
      <c r="BZ26" s="19"/>
      <c r="CA26" s="19"/>
      <c r="CB26" s="19"/>
      <c r="CC26" s="19"/>
      <c r="CD26" s="19"/>
      <c r="CE26" s="19"/>
      <c r="CF26" s="19"/>
      <c r="CG26" s="19"/>
      <c r="CH26" s="19"/>
      <c r="CI26" s="19"/>
      <c r="CJ26" s="19"/>
      <c r="CK26" s="19"/>
      <c r="CL26" s="19"/>
      <c r="CM26" s="19"/>
      <c r="CN26" s="19"/>
      <c r="CO26" s="19"/>
      <c r="CP26" s="19"/>
      <c r="CQ26" s="19"/>
      <c r="CR26" s="19"/>
      <c r="CS26" s="19"/>
      <c r="CT26" s="19"/>
      <c r="CU26" s="19"/>
      <c r="CV26" s="19"/>
      <c r="CW26" s="19"/>
      <c r="CX26" s="19"/>
      <c r="CY26" s="19"/>
      <c r="CZ26" s="19"/>
      <c r="DA26" s="19"/>
      <c r="DB26" s="19"/>
      <c r="DC26" s="19"/>
      <c r="DD26" s="19"/>
      <c r="DE26" s="19"/>
      <c r="DF26" s="19"/>
      <c r="DG26" s="19"/>
      <c r="DH26" s="19"/>
      <c r="DI26" s="19"/>
      <c r="DJ26" s="19"/>
      <c r="DK26" s="19"/>
      <c r="DL26" s="19"/>
      <c r="DM26" s="19"/>
      <c r="DN26" s="44"/>
      <c r="DO26" s="22"/>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45">
        <f>MEDIAN(AF26,AH26,AJ26)</f>
        <v>3993800</v>
      </c>
      <c r="ER26" s="45">
        <f>AVERAGE(AF26,AH26,AJ26)</f>
        <v>4028833.3333333335</v>
      </c>
      <c r="ES26" s="45">
        <f>+STDEV(AF26,AH26,AJ26)</f>
        <v>60679.513291829666</v>
      </c>
      <c r="ET26" s="46">
        <f>ES26/ER26</f>
        <v>1.5061311370164148E-2</v>
      </c>
      <c r="EU26" s="44">
        <f t="shared" si="10"/>
        <v>3385574.7899159663</v>
      </c>
      <c r="EV26" s="44">
        <f t="shared" si="11"/>
        <v>643259.21008403366</v>
      </c>
      <c r="EW26" s="44">
        <f t="shared" si="12"/>
        <v>4028834</v>
      </c>
      <c r="EX26" s="103">
        <f t="shared" si="13"/>
        <v>4028834</v>
      </c>
      <c r="EY26" s="26" t="s">
        <v>221</v>
      </c>
    </row>
    <row r="27" spans="1:156" ht="40.5" x14ac:dyDescent="0.35">
      <c r="A27" s="61">
        <v>18</v>
      </c>
      <c r="B27" s="141" t="s">
        <v>37</v>
      </c>
      <c r="C27" s="143" t="s">
        <v>310</v>
      </c>
      <c r="D27" s="62" t="s">
        <v>24</v>
      </c>
      <c r="E27" s="62">
        <v>1</v>
      </c>
      <c r="F27" s="67"/>
      <c r="G27" s="54"/>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c r="BT27" s="19"/>
      <c r="BU27" s="19"/>
      <c r="BV27" s="19"/>
      <c r="BW27" s="19"/>
      <c r="BX27" s="19"/>
      <c r="BY27" s="19"/>
      <c r="BZ27" s="19"/>
      <c r="CA27" s="19"/>
      <c r="CB27" s="19"/>
      <c r="CC27" s="19"/>
      <c r="CD27" s="19"/>
      <c r="CE27" s="19"/>
      <c r="CF27" s="19"/>
      <c r="CG27" s="19"/>
      <c r="CH27" s="19"/>
      <c r="CI27" s="19"/>
      <c r="CJ27" s="19"/>
      <c r="CK27" s="19"/>
      <c r="CL27" s="19"/>
      <c r="CM27" s="19"/>
      <c r="CN27" s="19"/>
      <c r="CO27" s="19"/>
      <c r="CP27" s="19"/>
      <c r="CQ27" s="19"/>
      <c r="CR27" s="19"/>
      <c r="CS27" s="19"/>
      <c r="CT27" s="19"/>
      <c r="CU27" s="19"/>
      <c r="CV27" s="19"/>
      <c r="CW27" s="19"/>
      <c r="CX27" s="19"/>
      <c r="CY27" s="19"/>
      <c r="CZ27" s="19"/>
      <c r="DA27" s="19"/>
      <c r="DB27" s="19"/>
      <c r="DC27" s="19"/>
      <c r="DD27" s="19"/>
      <c r="DE27" s="19"/>
      <c r="DF27" s="19"/>
      <c r="DG27" s="19"/>
      <c r="DH27" s="19"/>
      <c r="DI27" s="19"/>
      <c r="DJ27" s="19"/>
      <c r="DK27" s="19"/>
      <c r="DL27" s="19"/>
      <c r="DM27" s="19"/>
      <c r="DN27" s="44"/>
      <c r="DO27" s="22"/>
      <c r="DP27" s="23"/>
      <c r="DQ27" s="23"/>
      <c r="DR27" s="23"/>
      <c r="DS27" s="23"/>
      <c r="DT27" s="23"/>
      <c r="DU27" s="23"/>
      <c r="DV27" s="23"/>
      <c r="DW27" s="23"/>
      <c r="DX27" s="23"/>
      <c r="DY27" s="23"/>
      <c r="DZ27" s="23"/>
      <c r="EA27" s="23"/>
      <c r="EB27" s="23"/>
      <c r="EC27" s="23"/>
      <c r="ED27" s="23"/>
      <c r="EE27" s="139">
        <v>350000</v>
      </c>
      <c r="EF27" s="23">
        <v>310000</v>
      </c>
      <c r="EG27" s="23"/>
      <c r="EH27" s="23"/>
      <c r="EI27" s="23"/>
      <c r="EJ27" s="23"/>
      <c r="EK27" s="23"/>
      <c r="EL27" s="23"/>
      <c r="EM27" s="23"/>
      <c r="EN27" s="23"/>
      <c r="EO27" s="23"/>
      <c r="EP27" s="23"/>
      <c r="EQ27" s="45">
        <f>MEDIAN(EE27,EF27)</f>
        <v>330000</v>
      </c>
      <c r="ER27" s="45">
        <f>AVERAGE(EE27,EF27)</f>
        <v>330000</v>
      </c>
      <c r="ES27" s="45">
        <f>+STDEV(EE27,EF27)</f>
        <v>28284.2712474619</v>
      </c>
      <c r="ET27" s="46">
        <v>8.5709912871096666E-2</v>
      </c>
      <c r="EU27" s="44">
        <f t="shared" si="10"/>
        <v>277310.92436974793</v>
      </c>
      <c r="EV27" s="44">
        <f t="shared" si="11"/>
        <v>52689.075630252104</v>
      </c>
      <c r="EW27" s="44">
        <f t="shared" si="12"/>
        <v>330000</v>
      </c>
      <c r="EX27" s="103">
        <f t="shared" si="13"/>
        <v>330000</v>
      </c>
      <c r="EY27" s="26" t="s">
        <v>109</v>
      </c>
      <c r="EZ27" s="1">
        <v>350000</v>
      </c>
    </row>
    <row r="28" spans="1:156" ht="40.5" x14ac:dyDescent="0.35">
      <c r="A28" s="61">
        <v>19</v>
      </c>
      <c r="B28" s="145" t="s">
        <v>311</v>
      </c>
      <c r="C28" s="64" t="s">
        <v>383</v>
      </c>
      <c r="D28" s="62" t="s">
        <v>160</v>
      </c>
      <c r="E28" s="62">
        <v>1</v>
      </c>
      <c r="F28" s="63"/>
      <c r="G28" s="125"/>
      <c r="H28" s="17"/>
      <c r="I28" s="18"/>
      <c r="J28" s="18"/>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44">
        <v>13685000</v>
      </c>
      <c r="DO28" s="22">
        <v>5250000</v>
      </c>
      <c r="DP28" s="23">
        <v>5950000</v>
      </c>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45">
        <f>MEDIAN(DO28,DP28)</f>
        <v>5600000</v>
      </c>
      <c r="ER28" s="45">
        <f>AVERAGE(DO28,DP28)</f>
        <v>5600000</v>
      </c>
      <c r="ES28" s="45">
        <f>+STDEV(DO28,DP28)</f>
        <v>494974.74683058326</v>
      </c>
      <c r="ET28" s="46">
        <f t="shared" ref="ET28" si="14">ES28/ER28</f>
        <v>8.8388347648318433E-2</v>
      </c>
      <c r="EU28" s="44">
        <f t="shared" si="10"/>
        <v>4705882.3529411769</v>
      </c>
      <c r="EV28" s="44">
        <f t="shared" si="11"/>
        <v>894117.64705882361</v>
      </c>
      <c r="EW28" s="44">
        <f t="shared" si="12"/>
        <v>5600000</v>
      </c>
      <c r="EX28" s="103">
        <f t="shared" si="13"/>
        <v>5600000</v>
      </c>
      <c r="EY28" s="26" t="s">
        <v>218</v>
      </c>
    </row>
    <row r="29" spans="1:156" ht="76.5" customHeight="1" x14ac:dyDescent="0.35">
      <c r="A29" s="61">
        <v>20</v>
      </c>
      <c r="B29" s="143" t="s">
        <v>422</v>
      </c>
      <c r="C29" s="64" t="s">
        <v>413</v>
      </c>
      <c r="D29" s="62" t="s">
        <v>160</v>
      </c>
      <c r="E29" s="62">
        <v>4</v>
      </c>
      <c r="F29" s="63"/>
      <c r="G29" s="125"/>
      <c r="H29" s="17"/>
      <c r="I29" s="18"/>
      <c r="J29" s="18"/>
      <c r="K29" s="19"/>
      <c r="L29" s="19"/>
      <c r="M29" s="19"/>
      <c r="N29" s="19"/>
      <c r="O29" s="19"/>
      <c r="P29" s="19"/>
      <c r="Q29" s="19"/>
      <c r="R29" s="19"/>
      <c r="S29" s="19"/>
      <c r="T29" s="19"/>
      <c r="U29" s="19"/>
      <c r="V29" s="19"/>
      <c r="W29" s="19"/>
      <c r="X29" s="19"/>
      <c r="Y29" s="19"/>
      <c r="Z29" s="19"/>
      <c r="AA29" s="19"/>
      <c r="AB29" s="19"/>
      <c r="AC29" s="19"/>
      <c r="AD29" s="19"/>
      <c r="AE29" s="48">
        <v>480000</v>
      </c>
      <c r="AF29" s="48">
        <v>504480</v>
      </c>
      <c r="AG29" s="48">
        <v>495000</v>
      </c>
      <c r="AH29" s="48">
        <v>520245</v>
      </c>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c r="CB29" s="19"/>
      <c r="CC29" s="19"/>
      <c r="CD29" s="19"/>
      <c r="CE29" s="19"/>
      <c r="CF29" s="19"/>
      <c r="CG29" s="19"/>
      <c r="CH29" s="19"/>
      <c r="CI29" s="19"/>
      <c r="CJ29" s="19"/>
      <c r="CK29" s="19"/>
      <c r="CL29" s="19"/>
      <c r="CM29" s="19"/>
      <c r="CN29" s="19"/>
      <c r="CO29" s="19"/>
      <c r="CP29" s="19"/>
      <c r="CQ29" s="19"/>
      <c r="CR29" s="19"/>
      <c r="CS29" s="19"/>
      <c r="CT29" s="19"/>
      <c r="CU29" s="19"/>
      <c r="CV29" s="19"/>
      <c r="CW29" s="19"/>
      <c r="CX29" s="19"/>
      <c r="CY29" s="19"/>
      <c r="CZ29" s="19"/>
      <c r="DA29" s="19"/>
      <c r="DB29" s="19"/>
      <c r="DC29" s="19"/>
      <c r="DD29" s="19"/>
      <c r="DE29" s="19"/>
      <c r="DF29" s="19"/>
      <c r="DG29" s="19"/>
      <c r="DH29" s="19"/>
      <c r="DI29" s="19"/>
      <c r="DJ29" s="19"/>
      <c r="DK29" s="19"/>
      <c r="DL29" s="19"/>
      <c r="DM29" s="19"/>
      <c r="DN29" s="44"/>
      <c r="DO29" s="22"/>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45">
        <f>MEDIAN(AF29,AH29)</f>
        <v>512362.5</v>
      </c>
      <c r="ER29" s="45">
        <f>AVERAGE(AF29,AH29)</f>
        <v>512362.5</v>
      </c>
      <c r="ES29" s="45">
        <f>+STDEV(AF29,AH29)</f>
        <v>11147.538405405921</v>
      </c>
      <c r="ET29" s="46">
        <f t="shared" si="4"/>
        <v>2.1757131728816846E-2</v>
      </c>
      <c r="EU29" s="44">
        <f t="shared" si="10"/>
        <v>430557.1428571429</v>
      </c>
      <c r="EV29" s="44">
        <f t="shared" si="11"/>
        <v>81805.857142857145</v>
      </c>
      <c r="EW29" s="44">
        <f t="shared" si="12"/>
        <v>512363</v>
      </c>
      <c r="EX29" s="103">
        <f t="shared" si="13"/>
        <v>2049452</v>
      </c>
      <c r="EY29" s="26" t="s">
        <v>221</v>
      </c>
    </row>
    <row r="30" spans="1:156" ht="117.75" customHeight="1" x14ac:dyDescent="0.35">
      <c r="A30" s="61">
        <v>21</v>
      </c>
      <c r="B30" s="143" t="s">
        <v>384</v>
      </c>
      <c r="C30" s="27" t="s">
        <v>385</v>
      </c>
      <c r="D30" s="62" t="s">
        <v>17</v>
      </c>
      <c r="E30" s="62">
        <v>8</v>
      </c>
      <c r="F30" s="63"/>
      <c r="G30" s="125"/>
      <c r="H30" s="17"/>
      <c r="I30" s="18"/>
      <c r="J30" s="18"/>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c r="CG30" s="19"/>
      <c r="CH30" s="19"/>
      <c r="CI30" s="19"/>
      <c r="CJ30" s="19"/>
      <c r="CK30" s="19"/>
      <c r="CL30" s="19"/>
      <c r="CM30" s="19"/>
      <c r="CN30" s="19"/>
      <c r="CO30" s="19"/>
      <c r="CP30" s="19"/>
      <c r="CQ30" s="19"/>
      <c r="CR30" s="19"/>
      <c r="CS30" s="19"/>
      <c r="CT30" s="19"/>
      <c r="CU30" s="19"/>
      <c r="CV30" s="19"/>
      <c r="CW30" s="19"/>
      <c r="CX30" s="19"/>
      <c r="CY30" s="19"/>
      <c r="CZ30" s="19"/>
      <c r="DA30" s="19"/>
      <c r="DB30" s="19"/>
      <c r="DC30" s="19"/>
      <c r="DD30" s="19"/>
      <c r="DE30" s="54"/>
      <c r="DF30" s="54"/>
      <c r="DG30" s="54"/>
      <c r="DH30" s="54"/>
      <c r="DI30" s="54"/>
      <c r="DJ30" s="54"/>
      <c r="DK30" s="54"/>
      <c r="DL30" s="54"/>
      <c r="DM30" s="54"/>
      <c r="DN30" s="44"/>
      <c r="DO30" s="22"/>
      <c r="DP30" s="23"/>
      <c r="DQ30" s="23"/>
      <c r="DR30" s="23"/>
      <c r="DS30" s="23"/>
      <c r="DT30" s="23"/>
      <c r="DU30" s="23"/>
      <c r="DV30" s="23"/>
      <c r="DW30" s="23"/>
      <c r="DX30" s="23"/>
      <c r="DY30" s="23"/>
      <c r="DZ30" s="23"/>
      <c r="EA30" s="23"/>
      <c r="EB30" s="23"/>
      <c r="EC30" s="23"/>
      <c r="ED30" s="23"/>
      <c r="EE30" s="23"/>
      <c r="EF30" s="23"/>
      <c r="EG30" s="200">
        <v>299900</v>
      </c>
      <c r="EH30" s="200">
        <f>+EG30/1.19</f>
        <v>252016.8067226891</v>
      </c>
      <c r="EI30" s="200">
        <f>+(EH30*36%)+EH30</f>
        <v>342742.85714285716</v>
      </c>
      <c r="EJ30" s="200">
        <v>296000</v>
      </c>
      <c r="EK30" s="200">
        <f>+EJ30/1.19</f>
        <v>248739.49579831935</v>
      </c>
      <c r="EL30" s="200">
        <f>+(EK30*36%)+EK30</f>
        <v>338285.71428571432</v>
      </c>
      <c r="EM30" s="23"/>
      <c r="EN30" s="23"/>
      <c r="EO30" s="23"/>
      <c r="EP30" s="23"/>
      <c r="EQ30" s="45">
        <f>MEDIAN(EI30,EL30)</f>
        <v>340514.28571428574</v>
      </c>
      <c r="ER30" s="45">
        <f>AVERAGE(EI30,EL30)</f>
        <v>340514.28571428574</v>
      </c>
      <c r="ES30" s="45">
        <f>+STDEV(EI30,EL30)</f>
        <v>3151.675939002886</v>
      </c>
      <c r="ET30" s="46">
        <f t="shared" si="4"/>
        <v>9.2556349945545398E-3</v>
      </c>
      <c r="EU30" s="44">
        <f t="shared" si="10"/>
        <v>286147.0588235294</v>
      </c>
      <c r="EV30" s="44">
        <f t="shared" si="11"/>
        <v>54367.941176470587</v>
      </c>
      <c r="EW30" s="44">
        <f t="shared" si="12"/>
        <v>340515</v>
      </c>
      <c r="EX30" s="103">
        <f t="shared" si="13"/>
        <v>2724120</v>
      </c>
      <c r="EY30" s="26" t="s">
        <v>221</v>
      </c>
    </row>
    <row r="31" spans="1:156" ht="409.5" x14ac:dyDescent="0.35">
      <c r="A31" s="61">
        <v>22</v>
      </c>
      <c r="B31" s="141" t="s">
        <v>410</v>
      </c>
      <c r="C31" s="64" t="s">
        <v>411</v>
      </c>
      <c r="D31" s="62" t="s">
        <v>160</v>
      </c>
      <c r="E31" s="62">
        <v>1</v>
      </c>
      <c r="F31" s="63"/>
      <c r="G31" s="125"/>
      <c r="H31" s="17"/>
      <c r="I31" s="18"/>
      <c r="J31" s="18"/>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c r="CM31" s="19"/>
      <c r="CN31" s="19"/>
      <c r="CO31" s="19"/>
      <c r="CP31" s="19"/>
      <c r="CQ31" s="19"/>
      <c r="CR31" s="19"/>
      <c r="CS31" s="19"/>
      <c r="CT31" s="19"/>
      <c r="CU31" s="19"/>
      <c r="CV31" s="19"/>
      <c r="CW31" s="19"/>
      <c r="CX31" s="19"/>
      <c r="CY31" s="19"/>
      <c r="CZ31" s="19"/>
      <c r="DA31" s="19"/>
      <c r="DB31" s="19"/>
      <c r="DC31" s="19"/>
      <c r="DD31" s="19"/>
      <c r="DE31" s="19"/>
      <c r="DF31" s="19"/>
      <c r="DG31" s="19"/>
      <c r="DH31" s="19"/>
      <c r="DI31" s="19"/>
      <c r="DJ31" s="19"/>
      <c r="DK31" s="19"/>
      <c r="DL31" s="19"/>
      <c r="DM31" s="19"/>
      <c r="DN31" s="44">
        <v>1785000</v>
      </c>
      <c r="DO31" s="22"/>
      <c r="DP31" s="23">
        <v>1666000</v>
      </c>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45">
        <f>MEDIAN(DN31,DP31)</f>
        <v>1725500</v>
      </c>
      <c r="ER31" s="45">
        <f>AVERAGE(DN31,DP31)</f>
        <v>1725500</v>
      </c>
      <c r="ES31" s="45">
        <f>+STDEV(DN31,DP31)</f>
        <v>84145.706961199161</v>
      </c>
      <c r="ET31" s="46">
        <f t="shared" si="4"/>
        <v>4.8765984909417075E-2</v>
      </c>
      <c r="EU31" s="44">
        <f t="shared" si="10"/>
        <v>1450000</v>
      </c>
      <c r="EV31" s="44">
        <f t="shared" si="11"/>
        <v>275500</v>
      </c>
      <c r="EW31" s="44">
        <f t="shared" si="12"/>
        <v>1725500</v>
      </c>
      <c r="EX31" s="103">
        <f t="shared" si="13"/>
        <v>1725500</v>
      </c>
      <c r="EY31" s="26" t="s">
        <v>218</v>
      </c>
    </row>
    <row r="32" spans="1:156" ht="40.5" x14ac:dyDescent="0.35">
      <c r="A32" s="61">
        <v>23</v>
      </c>
      <c r="B32" s="64" t="s">
        <v>136</v>
      </c>
      <c r="C32" s="64" t="s">
        <v>237</v>
      </c>
      <c r="D32" s="62" t="s">
        <v>160</v>
      </c>
      <c r="E32" s="62">
        <v>1</v>
      </c>
      <c r="F32" s="63"/>
      <c r="G32" s="125"/>
      <c r="H32" s="17"/>
      <c r="I32" s="18"/>
      <c r="J32" s="18"/>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48">
        <v>1200000</v>
      </c>
      <c r="AP32" s="48">
        <v>1261200</v>
      </c>
      <c r="AQ32" s="48">
        <v>1200000</v>
      </c>
      <c r="AR32" s="48">
        <v>1261200</v>
      </c>
      <c r="AS32" s="48">
        <v>1880000</v>
      </c>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c r="BU32" s="48"/>
      <c r="BV32" s="48"/>
      <c r="BW32" s="48"/>
      <c r="BX32" s="48"/>
      <c r="BY32" s="48"/>
      <c r="BZ32" s="48"/>
      <c r="CA32" s="48"/>
      <c r="CB32" s="48"/>
      <c r="CC32" s="48"/>
      <c r="CD32" s="48"/>
      <c r="CE32" s="48"/>
      <c r="CF32" s="48"/>
      <c r="CG32" s="48"/>
      <c r="CH32" s="48"/>
      <c r="CI32" s="48"/>
      <c r="CJ32" s="48"/>
      <c r="CK32" s="48"/>
      <c r="CL32" s="48"/>
      <c r="CM32" s="48"/>
      <c r="CN32" s="48"/>
      <c r="CO32" s="48"/>
      <c r="CP32" s="48"/>
      <c r="CQ32" s="48"/>
      <c r="CR32" s="48"/>
      <c r="CS32" s="48"/>
      <c r="CT32" s="48"/>
      <c r="CU32" s="48"/>
      <c r="CV32" s="48"/>
      <c r="CW32" s="48"/>
      <c r="CX32" s="48"/>
      <c r="CY32" s="48"/>
      <c r="CZ32" s="48"/>
      <c r="DA32" s="48"/>
      <c r="DB32" s="48"/>
      <c r="DC32" s="48"/>
      <c r="DD32" s="48"/>
      <c r="DE32" s="48"/>
      <c r="DF32" s="48"/>
      <c r="DG32" s="48"/>
      <c r="DH32" s="48"/>
      <c r="DI32" s="48"/>
      <c r="DJ32" s="48"/>
      <c r="DK32" s="48"/>
      <c r="DL32" s="48"/>
      <c r="DM32" s="48"/>
      <c r="DN32" s="44"/>
      <c r="DO32" s="22"/>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45">
        <f>MEDIAN(AP32,AR32,AS32)</f>
        <v>1261200</v>
      </c>
      <c r="ER32" s="45">
        <f>AVERAGE(AP32,AR32,AS32)</f>
        <v>1467466.6666666667</v>
      </c>
      <c r="ES32" s="45">
        <f>+STDEV(AP32,AR32,AS32)</f>
        <v>357264.34657454066</v>
      </c>
      <c r="ET32" s="46">
        <f t="shared" si="4"/>
        <v>0.2434565327375118</v>
      </c>
      <c r="EU32" s="44">
        <f t="shared" si="10"/>
        <v>1059831.9327731093</v>
      </c>
      <c r="EV32" s="44">
        <f t="shared" si="11"/>
        <v>201368.06722689077</v>
      </c>
      <c r="EW32" s="44">
        <f t="shared" si="12"/>
        <v>1261200</v>
      </c>
      <c r="EX32" s="103">
        <f t="shared" si="13"/>
        <v>1261200</v>
      </c>
      <c r="EY32" s="26" t="s">
        <v>220</v>
      </c>
    </row>
    <row r="33" spans="1:155" ht="106.5" customHeight="1" x14ac:dyDescent="0.35">
      <c r="A33" s="61">
        <v>24</v>
      </c>
      <c r="B33" s="141" t="s">
        <v>20</v>
      </c>
      <c r="C33" s="143" t="s">
        <v>238</v>
      </c>
      <c r="D33" s="62" t="s">
        <v>160</v>
      </c>
      <c r="E33" s="62">
        <v>20</v>
      </c>
      <c r="F33" s="63"/>
      <c r="G33" s="125"/>
      <c r="H33" s="17"/>
      <c r="I33" s="18"/>
      <c r="J33" s="18"/>
      <c r="K33" s="19"/>
      <c r="L33" s="19"/>
      <c r="M33" s="19"/>
      <c r="N33" s="19"/>
      <c r="O33" s="19"/>
      <c r="P33" s="19"/>
      <c r="Q33" s="19"/>
      <c r="R33" s="19"/>
      <c r="S33" s="19"/>
      <c r="T33" s="19"/>
      <c r="U33" s="19"/>
      <c r="V33" s="19"/>
      <c r="W33" s="19"/>
      <c r="X33" s="19"/>
      <c r="Y33" s="19"/>
      <c r="Z33" s="19"/>
      <c r="AA33" s="19"/>
      <c r="AB33" s="19"/>
      <c r="AC33" s="19"/>
      <c r="AD33" s="19"/>
      <c r="AE33" s="19">
        <v>450000</v>
      </c>
      <c r="AF33" s="19">
        <f>+(AE33*5.1%)+AE33</f>
        <v>472950</v>
      </c>
      <c r="AG33" s="19">
        <v>480000</v>
      </c>
      <c r="AH33" s="19">
        <f>+(AG33*5.1%)+AG33</f>
        <v>504480</v>
      </c>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c r="CA33" s="19"/>
      <c r="CB33" s="19"/>
      <c r="CC33" s="19"/>
      <c r="CD33" s="19"/>
      <c r="CE33" s="19"/>
      <c r="CF33" s="19"/>
      <c r="CG33" s="19"/>
      <c r="CH33" s="19"/>
      <c r="CI33" s="19"/>
      <c r="CJ33" s="19"/>
      <c r="CK33" s="19"/>
      <c r="CL33" s="19"/>
      <c r="CM33" s="19"/>
      <c r="CN33" s="19"/>
      <c r="CO33" s="19"/>
      <c r="CP33" s="19"/>
      <c r="CQ33" s="19"/>
      <c r="CR33" s="19"/>
      <c r="CS33" s="19"/>
      <c r="CT33" s="19"/>
      <c r="CU33" s="19"/>
      <c r="CV33" s="19"/>
      <c r="CW33" s="19"/>
      <c r="CX33" s="19"/>
      <c r="CY33" s="19"/>
      <c r="CZ33" s="19"/>
      <c r="DA33" s="19"/>
      <c r="DB33" s="19"/>
      <c r="DC33" s="19"/>
      <c r="DD33" s="19"/>
      <c r="DE33" s="19"/>
      <c r="DF33" s="19"/>
      <c r="DG33" s="19"/>
      <c r="DH33" s="19"/>
      <c r="DI33" s="19"/>
      <c r="DJ33" s="19"/>
      <c r="DK33" s="19"/>
      <c r="DL33" s="19"/>
      <c r="DM33" s="19"/>
      <c r="DN33" s="44"/>
      <c r="DO33" s="22"/>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45">
        <f>MEDIAN(AF33,AH33)</f>
        <v>488715</v>
      </c>
      <c r="ER33" s="45">
        <f>AVERAGE(AF33,AH33)</f>
        <v>488715</v>
      </c>
      <c r="ES33" s="45">
        <f>+STDEV(AF33,AH33)</f>
        <v>22295.076810811843</v>
      </c>
      <c r="ET33" s="46">
        <f t="shared" si="4"/>
        <v>4.5619792334615966E-2</v>
      </c>
      <c r="EU33" s="44">
        <f t="shared" si="10"/>
        <v>410684.87394957984</v>
      </c>
      <c r="EV33" s="44">
        <f t="shared" si="11"/>
        <v>78030.126050420164</v>
      </c>
      <c r="EW33" s="44">
        <f t="shared" si="12"/>
        <v>488715</v>
      </c>
      <c r="EX33" s="103">
        <f t="shared" si="13"/>
        <v>9774300</v>
      </c>
      <c r="EY33" s="26" t="s">
        <v>315</v>
      </c>
    </row>
    <row r="34" spans="1:155" ht="162" x14ac:dyDescent="0.35">
      <c r="A34" s="61">
        <v>25</v>
      </c>
      <c r="B34" s="64" t="s">
        <v>139</v>
      </c>
      <c r="C34" s="64" t="s">
        <v>239</v>
      </c>
      <c r="D34" s="62" t="s">
        <v>160</v>
      </c>
      <c r="E34" s="62">
        <v>5</v>
      </c>
      <c r="F34" s="63"/>
      <c r="G34" s="125"/>
      <c r="H34" s="17"/>
      <c r="I34" s="18"/>
      <c r="J34" s="18"/>
      <c r="K34" s="19"/>
      <c r="L34" s="19"/>
      <c r="M34" s="19"/>
      <c r="N34" s="19"/>
      <c r="O34" s="19"/>
      <c r="P34" s="49">
        <v>1500000</v>
      </c>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48">
        <v>1600000</v>
      </c>
      <c r="AU34" s="48">
        <v>1550000</v>
      </c>
      <c r="AV34" s="19"/>
      <c r="AW34" s="19"/>
      <c r="AX34" s="19"/>
      <c r="AY34" s="4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c r="CA34" s="19"/>
      <c r="CB34" s="19"/>
      <c r="CC34" s="19"/>
      <c r="CD34" s="19"/>
      <c r="CE34" s="19"/>
      <c r="CF34" s="19"/>
      <c r="CG34" s="19"/>
      <c r="CH34" s="19"/>
      <c r="CI34" s="19"/>
      <c r="CJ34" s="19"/>
      <c r="CK34" s="19"/>
      <c r="CL34" s="19"/>
      <c r="CM34" s="19"/>
      <c r="CN34" s="19"/>
      <c r="CO34" s="19"/>
      <c r="CP34" s="19"/>
      <c r="CQ34" s="19"/>
      <c r="CR34" s="19"/>
      <c r="CS34" s="19"/>
      <c r="CT34" s="19"/>
      <c r="CU34" s="19"/>
      <c r="CV34" s="19"/>
      <c r="CW34" s="19"/>
      <c r="CX34" s="19"/>
      <c r="CY34" s="19"/>
      <c r="CZ34" s="19"/>
      <c r="DA34" s="19"/>
      <c r="DB34" s="19"/>
      <c r="DC34" s="19"/>
      <c r="DD34" s="19"/>
      <c r="DE34" s="19"/>
      <c r="DF34" s="19"/>
      <c r="DG34" s="19"/>
      <c r="DH34" s="19"/>
      <c r="DI34" s="19"/>
      <c r="DJ34" s="19"/>
      <c r="DK34" s="19"/>
      <c r="DL34" s="19"/>
      <c r="DM34" s="19"/>
      <c r="DN34" s="44"/>
      <c r="DO34" s="22"/>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45">
        <f>MEDIAN(P34,AT34,AU34)</f>
        <v>1550000</v>
      </c>
      <c r="ER34" s="45">
        <f>AVERAGE(P34,AT34,AU34)</f>
        <v>1550000</v>
      </c>
      <c r="ES34" s="45">
        <f>+STDEV(P34,AT34,AU34)</f>
        <v>50000</v>
      </c>
      <c r="ET34" s="46">
        <f t="shared" si="4"/>
        <v>3.2258064516129031E-2</v>
      </c>
      <c r="EU34" s="44">
        <v>1550000</v>
      </c>
      <c r="EV34" s="47">
        <v>0</v>
      </c>
      <c r="EW34" s="44">
        <v>1550000</v>
      </c>
      <c r="EX34" s="103">
        <f t="shared" si="13"/>
        <v>7750000</v>
      </c>
      <c r="EY34" s="26" t="s">
        <v>221</v>
      </c>
    </row>
    <row r="35" spans="1:155" ht="409.5" customHeight="1" x14ac:dyDescent="0.35">
      <c r="A35" s="61">
        <v>26</v>
      </c>
      <c r="B35" s="145" t="s">
        <v>21</v>
      </c>
      <c r="C35" s="217" t="s">
        <v>407</v>
      </c>
      <c r="D35" s="62" t="s">
        <v>24</v>
      </c>
      <c r="E35" s="62">
        <v>4</v>
      </c>
      <c r="F35" s="63"/>
      <c r="G35" s="125"/>
      <c r="H35" s="17"/>
      <c r="I35" s="18"/>
      <c r="J35" s="18"/>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c r="CM35" s="19"/>
      <c r="CN35" s="19"/>
      <c r="CO35" s="19"/>
      <c r="CP35" s="19"/>
      <c r="CQ35" s="19"/>
      <c r="CR35" s="19"/>
      <c r="CS35" s="19"/>
      <c r="CT35" s="19"/>
      <c r="CU35" s="19"/>
      <c r="CV35" s="19"/>
      <c r="CW35" s="19"/>
      <c r="CX35" s="19"/>
      <c r="CY35" s="19"/>
      <c r="CZ35" s="19"/>
      <c r="DA35" s="19"/>
      <c r="DB35" s="19"/>
      <c r="DC35" s="19"/>
      <c r="DD35" s="19"/>
      <c r="DE35" s="19"/>
      <c r="DF35" s="19"/>
      <c r="DG35" s="19"/>
      <c r="DH35" s="19"/>
      <c r="DI35" s="19"/>
      <c r="DJ35" s="19"/>
      <c r="DK35" s="19"/>
      <c r="DL35" s="19"/>
      <c r="DM35" s="19"/>
      <c r="DN35" s="44">
        <v>1785000</v>
      </c>
      <c r="DO35" s="22"/>
      <c r="DP35" s="23">
        <v>1904000</v>
      </c>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45">
        <f>MEDIAN(DN35,DP35)</f>
        <v>1844500</v>
      </c>
      <c r="ER35" s="45">
        <f>AVERAGE(DN35,DP35)</f>
        <v>1844500</v>
      </c>
      <c r="ES35" s="45">
        <f>+STDEV(DN35,DP35)</f>
        <v>84145.706961199161</v>
      </c>
      <c r="ET35" s="46">
        <f t="shared" si="4"/>
        <v>4.5619792334615973E-2</v>
      </c>
      <c r="EU35" s="44">
        <v>1844500</v>
      </c>
      <c r="EV35" s="47">
        <v>0</v>
      </c>
      <c r="EW35" s="44">
        <v>1844500</v>
      </c>
      <c r="EX35" s="103">
        <f t="shared" si="13"/>
        <v>7378000</v>
      </c>
      <c r="EY35" s="26" t="s">
        <v>109</v>
      </c>
    </row>
    <row r="36" spans="1:155" ht="148.5" x14ac:dyDescent="0.35">
      <c r="A36" s="61">
        <v>27</v>
      </c>
      <c r="B36" s="145" t="s">
        <v>145</v>
      </c>
      <c r="C36" s="218" t="s">
        <v>399</v>
      </c>
      <c r="D36" s="62" t="s">
        <v>17</v>
      </c>
      <c r="E36" s="62">
        <v>100</v>
      </c>
      <c r="F36" s="63"/>
      <c r="G36" s="125"/>
      <c r="H36" s="17"/>
      <c r="I36" s="18"/>
      <c r="J36" s="18"/>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49">
        <v>95000</v>
      </c>
      <c r="BA36" s="49">
        <f>+(AZ36*5.1%)+AZ36</f>
        <v>99845</v>
      </c>
      <c r="BB36" s="49">
        <v>107100</v>
      </c>
      <c r="BC36" s="49">
        <v>102000</v>
      </c>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4"/>
      <c r="DO36" s="22"/>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45">
        <f>MEDIAN(BA36,BB36,BC36)</f>
        <v>102000</v>
      </c>
      <c r="ER36" s="45">
        <f>AVERAGE(BA36,BB36,BC36)</f>
        <v>102981.66666666667</v>
      </c>
      <c r="ES36" s="45">
        <f>+STDEV(BA36,BB36,BC36)</f>
        <v>3725.789625479857</v>
      </c>
      <c r="ET36" s="46">
        <f t="shared" si="4"/>
        <v>3.6179154465809674E-2</v>
      </c>
      <c r="EU36" s="44">
        <f>EW36/1.19</f>
        <v>86539.495798319331</v>
      </c>
      <c r="EV36" s="44">
        <f>EU36*19%</f>
        <v>16442.504201680673</v>
      </c>
      <c r="EW36" s="44">
        <f>+ROUNDUP(IF(ET36&lt;15%,ER36,EQ36),0)</f>
        <v>102982</v>
      </c>
      <c r="EX36" s="103">
        <f t="shared" si="13"/>
        <v>10298200</v>
      </c>
      <c r="EY36" s="26" t="s">
        <v>221</v>
      </c>
    </row>
    <row r="37" spans="1:155" ht="121.9" x14ac:dyDescent="0.35">
      <c r="A37" s="61">
        <v>28</v>
      </c>
      <c r="B37" s="141" t="s">
        <v>22</v>
      </c>
      <c r="C37" s="143" t="s">
        <v>275</v>
      </c>
      <c r="D37" s="62" t="s">
        <v>17</v>
      </c>
      <c r="E37" s="65">
        <v>2000</v>
      </c>
      <c r="F37" s="63"/>
      <c r="G37" s="125"/>
      <c r="H37" s="17"/>
      <c r="I37" s="18"/>
      <c r="J37" s="18"/>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19"/>
      <c r="CN37" s="19"/>
      <c r="CO37" s="19"/>
      <c r="CP37" s="19"/>
      <c r="CQ37" s="19"/>
      <c r="CR37" s="19"/>
      <c r="CS37" s="19"/>
      <c r="CT37" s="19"/>
      <c r="CU37" s="19"/>
      <c r="CV37" s="19"/>
      <c r="CW37" s="19"/>
      <c r="CX37" s="19"/>
      <c r="CY37" s="19"/>
      <c r="CZ37" s="19"/>
      <c r="DA37" s="19"/>
      <c r="DB37" s="19"/>
      <c r="DC37" s="19"/>
      <c r="DD37" s="19"/>
      <c r="DE37" s="19"/>
      <c r="DF37" s="19"/>
      <c r="DG37" s="19"/>
      <c r="DH37" s="19"/>
      <c r="DI37" s="19"/>
      <c r="DJ37" s="19"/>
      <c r="DK37" s="19"/>
      <c r="DL37" s="19"/>
      <c r="DM37" s="19"/>
      <c r="DN37" s="44">
        <v>21420</v>
      </c>
      <c r="DO37" s="22"/>
      <c r="DP37" s="52"/>
      <c r="DQ37" s="52"/>
      <c r="DR37" s="52"/>
      <c r="DS37" s="52"/>
      <c r="DT37" s="52"/>
      <c r="DU37" s="52"/>
      <c r="DV37" s="52"/>
      <c r="DW37" s="52"/>
      <c r="DX37" s="52"/>
      <c r="DY37" s="52"/>
      <c r="DZ37" s="52"/>
      <c r="EA37" s="52"/>
      <c r="EB37" s="52"/>
      <c r="EC37" s="52"/>
      <c r="ED37" s="52"/>
      <c r="EE37" s="52"/>
      <c r="EF37" s="52">
        <v>15000</v>
      </c>
      <c r="EG37" s="52"/>
      <c r="EH37" s="52"/>
      <c r="EI37" s="52"/>
      <c r="EJ37" s="52"/>
      <c r="EK37" s="52"/>
      <c r="EL37" s="52"/>
      <c r="EM37" s="52"/>
      <c r="EN37" s="52"/>
      <c r="EO37" s="52"/>
      <c r="EP37" s="52"/>
      <c r="EQ37" s="45">
        <f>MEDIAN(DN37,DP37,EF37)</f>
        <v>18210</v>
      </c>
      <c r="ER37" s="45">
        <f>AVERAGE(DN37,DP37,EF37)</f>
        <v>18210</v>
      </c>
      <c r="ES37" s="45">
        <f>+STDEV(DN37,DP37,EF37)</f>
        <v>4539.6255352176349</v>
      </c>
      <c r="ET37" s="46">
        <f t="shared" si="4"/>
        <v>0.24929300028652582</v>
      </c>
      <c r="EU37" s="44">
        <f>EW37/1.19</f>
        <v>15302.521008403362</v>
      </c>
      <c r="EV37" s="44">
        <f>EU37*19%</f>
        <v>2907.4789915966389</v>
      </c>
      <c r="EW37" s="44">
        <f>+ROUNDUP(IF(ET37&lt;15%,ER37,EQ37),0)</f>
        <v>18210</v>
      </c>
      <c r="EX37" s="103">
        <f t="shared" si="13"/>
        <v>36420000</v>
      </c>
      <c r="EY37" s="26" t="s">
        <v>219</v>
      </c>
    </row>
    <row r="38" spans="1:155" ht="124.5" customHeight="1" x14ac:dyDescent="0.35">
      <c r="A38" s="61">
        <v>29</v>
      </c>
      <c r="B38" s="145" t="s">
        <v>147</v>
      </c>
      <c r="C38" s="64" t="s">
        <v>148</v>
      </c>
      <c r="D38" s="62" t="s">
        <v>17</v>
      </c>
      <c r="E38" s="65">
        <v>2000</v>
      </c>
      <c r="F38" s="63"/>
      <c r="G38" s="125"/>
      <c r="H38" s="17"/>
      <c r="I38" s="18"/>
      <c r="J38" s="18"/>
      <c r="K38" s="19"/>
      <c r="L38" s="19"/>
      <c r="M38" s="19"/>
      <c r="N38" s="19"/>
      <c r="O38" s="19"/>
      <c r="P38" s="19"/>
      <c r="Q38" s="16">
        <v>15500</v>
      </c>
      <c r="R38" s="16">
        <f>+(Q38*5.1%)+Q38</f>
        <v>16290.5</v>
      </c>
      <c r="S38" s="49">
        <v>16000</v>
      </c>
      <c r="T38" s="48">
        <f>+(S38*5.1%)+S38</f>
        <v>16816</v>
      </c>
      <c r="U38" s="19"/>
      <c r="V38" s="19"/>
      <c r="W38" s="19"/>
      <c r="X38" s="19"/>
      <c r="Y38" s="19"/>
      <c r="Z38" s="19"/>
      <c r="AA38" s="51">
        <v>17000</v>
      </c>
      <c r="AB38" s="51">
        <v>17867</v>
      </c>
      <c r="AC38" s="48">
        <v>15500</v>
      </c>
      <c r="AD38" s="48">
        <v>16291</v>
      </c>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c r="CA38" s="19"/>
      <c r="CB38" s="19"/>
      <c r="CC38" s="19"/>
      <c r="CD38" s="19"/>
      <c r="CE38" s="19"/>
      <c r="CF38" s="19"/>
      <c r="CG38" s="19"/>
      <c r="CH38" s="19"/>
      <c r="CI38" s="19"/>
      <c r="CJ38" s="19"/>
      <c r="CK38" s="19"/>
      <c r="CL38" s="19"/>
      <c r="CM38" s="19"/>
      <c r="CN38" s="19"/>
      <c r="CO38" s="19"/>
      <c r="CP38" s="19"/>
      <c r="CQ38" s="19"/>
      <c r="CR38" s="19"/>
      <c r="CS38" s="19"/>
      <c r="CT38" s="19"/>
      <c r="CU38" s="19"/>
      <c r="CV38" s="19"/>
      <c r="CW38" s="19"/>
      <c r="CX38" s="19"/>
      <c r="CY38" s="19"/>
      <c r="CZ38" s="19"/>
      <c r="DA38" s="19"/>
      <c r="DB38" s="19"/>
      <c r="DC38" s="19"/>
      <c r="DD38" s="19"/>
      <c r="DE38" s="19"/>
      <c r="DF38" s="19"/>
      <c r="DG38" s="19"/>
      <c r="DH38" s="19"/>
      <c r="DI38" s="19"/>
      <c r="DJ38" s="19"/>
      <c r="DK38" s="19"/>
      <c r="DL38" s="19"/>
      <c r="DM38" s="19"/>
      <c r="DN38" s="44"/>
      <c r="DO38" s="22"/>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45">
        <f>MEDIAN(AB38,AD38,R38,T38)</f>
        <v>16553.5</v>
      </c>
      <c r="ER38" s="45">
        <f>AVERAGE(AB38,AD38,R38,T38)</f>
        <v>16816.125</v>
      </c>
      <c r="ES38" s="45">
        <f>+STDEV(AB38,AD38,R38,T38)</f>
        <v>743.0514086073274</v>
      </c>
      <c r="ET38" s="46">
        <f t="shared" si="4"/>
        <v>4.4186839037372014E-2</v>
      </c>
      <c r="EU38" s="44">
        <f>EW38/1.08</f>
        <v>15571.296296296296</v>
      </c>
      <c r="EV38" s="44">
        <f>EU38*8%</f>
        <v>1245.7037037037037</v>
      </c>
      <c r="EW38" s="44">
        <f>+ROUNDUP(IF(ET38&lt;15%,ER38,EQ38),0)</f>
        <v>16817</v>
      </c>
      <c r="EX38" s="103">
        <f t="shared" si="13"/>
        <v>33634000</v>
      </c>
      <c r="EY38" s="26" t="s">
        <v>221</v>
      </c>
    </row>
    <row r="39" spans="1:155" ht="40.5" x14ac:dyDescent="0.35">
      <c r="A39" s="61">
        <v>30</v>
      </c>
      <c r="B39" s="145" t="s">
        <v>44</v>
      </c>
      <c r="C39" s="64" t="s">
        <v>241</v>
      </c>
      <c r="D39" s="41" t="s">
        <v>17</v>
      </c>
      <c r="E39" s="26">
        <v>2000</v>
      </c>
      <c r="F39" s="63"/>
      <c r="G39" s="125"/>
      <c r="H39" s="17"/>
      <c r="I39" s="18"/>
      <c r="J39" s="18"/>
      <c r="K39" s="19"/>
      <c r="L39" s="19"/>
      <c r="M39" s="19"/>
      <c r="N39" s="19"/>
      <c r="O39" s="19"/>
      <c r="P39" s="19"/>
      <c r="Q39" s="19"/>
      <c r="R39" s="19"/>
      <c r="S39" s="19"/>
      <c r="T39" s="19"/>
      <c r="U39" s="48">
        <v>3000</v>
      </c>
      <c r="V39" s="48">
        <v>3153</v>
      </c>
      <c r="W39" s="48">
        <v>2000</v>
      </c>
      <c r="X39" s="48">
        <v>2102</v>
      </c>
      <c r="Y39" s="48">
        <v>2000</v>
      </c>
      <c r="Z39" s="48">
        <v>2102</v>
      </c>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c r="CB39" s="19"/>
      <c r="CC39" s="19"/>
      <c r="CD39" s="19"/>
      <c r="CE39" s="19"/>
      <c r="CF39" s="19"/>
      <c r="CG39" s="19"/>
      <c r="CH39" s="19"/>
      <c r="CI39" s="19"/>
      <c r="CJ39" s="19"/>
      <c r="CK39" s="19"/>
      <c r="CL39" s="19"/>
      <c r="CM39" s="19"/>
      <c r="CN39" s="19"/>
      <c r="CO39" s="19"/>
      <c r="CP39" s="19"/>
      <c r="CQ39" s="19"/>
      <c r="CR39" s="19"/>
      <c r="CS39" s="19"/>
      <c r="CT39" s="19"/>
      <c r="CU39" s="19"/>
      <c r="CV39" s="19"/>
      <c r="CW39" s="19"/>
      <c r="CX39" s="19"/>
      <c r="CY39" s="19"/>
      <c r="CZ39" s="19"/>
      <c r="DA39" s="19"/>
      <c r="DB39" s="19"/>
      <c r="DC39" s="19"/>
      <c r="DD39" s="19"/>
      <c r="DE39" s="19"/>
      <c r="DF39" s="19"/>
      <c r="DG39" s="19"/>
      <c r="DH39" s="19"/>
      <c r="DI39" s="19"/>
      <c r="DJ39" s="19"/>
      <c r="DK39" s="19"/>
      <c r="DL39" s="19"/>
      <c r="DM39" s="19"/>
      <c r="DN39" s="44"/>
      <c r="DO39" s="22"/>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45">
        <v>2102</v>
      </c>
      <c r="ER39" s="45">
        <v>2452.3333333333335</v>
      </c>
      <c r="ES39" s="45">
        <v>606.79513291829721</v>
      </c>
      <c r="ET39" s="46">
        <v>0.24743582965269695</v>
      </c>
      <c r="EU39" s="44">
        <v>2102</v>
      </c>
      <c r="EV39" s="44">
        <v>0</v>
      </c>
      <c r="EW39" s="44">
        <v>2102</v>
      </c>
      <c r="EX39" s="103">
        <f t="shared" si="13"/>
        <v>4204000</v>
      </c>
      <c r="EY39" s="26" t="s">
        <v>220</v>
      </c>
    </row>
    <row r="40" spans="1:155" ht="135" x14ac:dyDescent="0.35">
      <c r="A40" s="61">
        <v>31</v>
      </c>
      <c r="B40" s="222" t="s">
        <v>23</v>
      </c>
      <c r="C40" s="144" t="s">
        <v>408</v>
      </c>
      <c r="D40" s="66" t="s">
        <v>160</v>
      </c>
      <c r="E40" s="62">
        <v>1</v>
      </c>
      <c r="F40" s="63"/>
      <c r="G40" s="125"/>
      <c r="H40" s="17"/>
      <c r="I40" s="18"/>
      <c r="J40" s="18"/>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19"/>
      <c r="CN40" s="19"/>
      <c r="CO40" s="19"/>
      <c r="CP40" s="19"/>
      <c r="CQ40" s="19"/>
      <c r="CR40" s="19"/>
      <c r="CS40" s="19"/>
      <c r="CT40" s="19"/>
      <c r="CU40" s="19"/>
      <c r="CV40" s="19"/>
      <c r="CW40" s="19"/>
      <c r="CX40" s="19"/>
      <c r="CY40" s="19"/>
      <c r="CZ40" s="19"/>
      <c r="DA40" s="19"/>
      <c r="DB40" s="19"/>
      <c r="DC40" s="19"/>
      <c r="DD40" s="19"/>
      <c r="DE40" s="19"/>
      <c r="DF40" s="19"/>
      <c r="DG40" s="19"/>
      <c r="DH40" s="19"/>
      <c r="DI40" s="19"/>
      <c r="DJ40" s="19"/>
      <c r="DK40" s="19"/>
      <c r="DL40" s="19"/>
      <c r="DM40" s="19"/>
      <c r="DN40" s="44">
        <v>1785000</v>
      </c>
      <c r="DO40" s="22"/>
      <c r="DP40" s="23">
        <v>1654100</v>
      </c>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45">
        <f>MEDIAN(DN40,DP40)</f>
        <v>1719550</v>
      </c>
      <c r="ER40" s="45">
        <f>AVERAGE(DN40,DP40)</f>
        <v>1719550</v>
      </c>
      <c r="ES40" s="45">
        <f>+STDEV(DN40,DP40)</f>
        <v>92560.277657319064</v>
      </c>
      <c r="ET40" s="46">
        <f t="shared" si="4"/>
        <v>5.3828197875792544E-2</v>
      </c>
      <c r="EU40" s="44">
        <f>EW40/1.19</f>
        <v>1445000</v>
      </c>
      <c r="EV40" s="44">
        <f>EU40*19%</f>
        <v>274550</v>
      </c>
      <c r="EW40" s="44">
        <f>+ROUNDUP(IF(ET40&lt;15%,ER40,EQ40),0)</f>
        <v>1719550</v>
      </c>
      <c r="EX40" s="103">
        <f t="shared" si="13"/>
        <v>1719550</v>
      </c>
      <c r="EY40" s="26" t="s">
        <v>218</v>
      </c>
    </row>
    <row r="41" spans="1:155" ht="15.4" customHeight="1" x14ac:dyDescent="0.35">
      <c r="A41" s="231" t="s">
        <v>366</v>
      </c>
      <c r="B41" s="232"/>
      <c r="C41" s="232"/>
      <c r="D41" s="232"/>
      <c r="E41" s="232"/>
      <c r="F41" s="233"/>
      <c r="G41" s="126"/>
      <c r="H41" s="28"/>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c r="AY41" s="29"/>
      <c r="AZ41" s="29"/>
      <c r="BA41" s="29"/>
      <c r="BB41" s="29"/>
      <c r="BC41" s="29"/>
      <c r="BD41" s="29"/>
      <c r="BE41" s="29"/>
      <c r="BF41" s="29"/>
      <c r="BG41" s="29"/>
      <c r="BH41" s="29"/>
      <c r="BI41" s="29"/>
      <c r="BJ41" s="29"/>
      <c r="BK41" s="29"/>
      <c r="BL41" s="29"/>
      <c r="BM41" s="29"/>
      <c r="BN41" s="29"/>
      <c r="BO41" s="29"/>
      <c r="BP41" s="29"/>
      <c r="BQ41" s="29"/>
      <c r="BR41" s="29"/>
      <c r="BS41" s="29"/>
      <c r="BT41" s="29"/>
      <c r="BU41" s="29"/>
      <c r="BV41" s="29"/>
      <c r="BW41" s="29"/>
      <c r="BX41" s="29"/>
      <c r="BY41" s="29"/>
      <c r="BZ41" s="29"/>
      <c r="CA41" s="29"/>
      <c r="CB41" s="29"/>
      <c r="CC41" s="29"/>
      <c r="CD41" s="29"/>
      <c r="CE41" s="29"/>
      <c r="CF41" s="29"/>
      <c r="CG41" s="29"/>
      <c r="CH41" s="29"/>
      <c r="CI41" s="29"/>
      <c r="CJ41" s="29"/>
      <c r="CK41" s="29"/>
      <c r="CL41" s="29"/>
      <c r="CM41" s="29"/>
      <c r="CN41" s="29"/>
      <c r="CO41" s="29"/>
      <c r="CP41" s="29"/>
      <c r="CQ41" s="29"/>
      <c r="CR41" s="29"/>
      <c r="CS41" s="29"/>
      <c r="CT41" s="29"/>
      <c r="CU41" s="29"/>
      <c r="CV41" s="29"/>
      <c r="CW41" s="29"/>
      <c r="CX41" s="29"/>
      <c r="CY41" s="29"/>
      <c r="CZ41" s="29"/>
      <c r="DA41" s="29"/>
      <c r="DB41" s="29"/>
      <c r="DC41" s="29"/>
      <c r="DD41" s="29"/>
      <c r="DE41" s="29"/>
      <c r="DF41" s="29"/>
      <c r="DG41" s="29"/>
      <c r="DH41" s="29"/>
      <c r="DI41" s="29"/>
      <c r="DJ41" s="29"/>
      <c r="DK41" s="29"/>
      <c r="DL41" s="29"/>
      <c r="DM41" s="29"/>
      <c r="DN41" s="212"/>
      <c r="DO41" s="30"/>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31"/>
      <c r="EQ41" s="55"/>
      <c r="ER41" s="55"/>
      <c r="ES41" s="55"/>
      <c r="ET41" s="56"/>
      <c r="EU41" s="57"/>
      <c r="EV41" s="57"/>
      <c r="EW41" s="58"/>
      <c r="EX41" s="59"/>
      <c r="EY41" s="60"/>
    </row>
    <row r="42" spans="1:155" ht="121.5" x14ac:dyDescent="0.35">
      <c r="A42" s="61">
        <v>32</v>
      </c>
      <c r="B42" s="145" t="s">
        <v>25</v>
      </c>
      <c r="C42" s="64" t="s">
        <v>287</v>
      </c>
      <c r="D42" s="62" t="s">
        <v>17</v>
      </c>
      <c r="E42" s="62">
        <v>420</v>
      </c>
      <c r="F42" s="63"/>
      <c r="G42" s="125"/>
      <c r="H42" s="17"/>
      <c r="I42" s="18"/>
      <c r="J42" s="18"/>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54">
        <v>2900</v>
      </c>
      <c r="DH42" s="54">
        <f>+DG42/1.19</f>
        <v>2436.9747899159665</v>
      </c>
      <c r="DI42" s="54">
        <f>+(DH42*36%)+DH42</f>
        <v>3314.2857142857147</v>
      </c>
      <c r="DJ42" s="54">
        <f>+(2375*15%)+2375</f>
        <v>2731.25</v>
      </c>
      <c r="DK42" s="54"/>
      <c r="DL42" s="54"/>
      <c r="DM42" s="54"/>
      <c r="DN42" s="44">
        <v>2975</v>
      </c>
      <c r="DO42" s="22"/>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45">
        <f>MEDIAN(DG42,DJ42,DN42)</f>
        <v>2900</v>
      </c>
      <c r="ER42" s="45">
        <f>AVERAGE(DG42,DJ42,DN42)</f>
        <v>2868.75</v>
      </c>
      <c r="ES42" s="45">
        <f>+STDEV(DG42,DJ42,DN42)</f>
        <v>124.84365222148863</v>
      </c>
      <c r="ET42" s="46">
        <f t="shared" si="4"/>
        <v>4.3518484434505837E-2</v>
      </c>
      <c r="EU42" s="44">
        <f t="shared" ref="EU42:EU63" si="15">EW42/1.19</f>
        <v>2410.9243697478992</v>
      </c>
      <c r="EV42" s="44">
        <f t="shared" ref="EV42:EV63" si="16">EU42*19%</f>
        <v>458.07563025210084</v>
      </c>
      <c r="EW42" s="44">
        <f t="shared" ref="EW42:EW63" si="17">+ROUNDUP(IF(ET42&lt;15%,ER42,EQ42),0)</f>
        <v>2869</v>
      </c>
      <c r="EX42" s="103">
        <f t="shared" ref="EX42:EX68" si="18">+EW42*E42</f>
        <v>1204980</v>
      </c>
      <c r="EY42" s="26" t="s">
        <v>218</v>
      </c>
    </row>
    <row r="43" spans="1:155" ht="117.75" customHeight="1" x14ac:dyDescent="0.35">
      <c r="A43" s="61">
        <v>33</v>
      </c>
      <c r="B43" s="145" t="s">
        <v>26</v>
      </c>
      <c r="C43" s="64" t="s">
        <v>288</v>
      </c>
      <c r="D43" s="62" t="s">
        <v>17</v>
      </c>
      <c r="E43" s="62">
        <v>419</v>
      </c>
      <c r="F43" s="63"/>
      <c r="G43" s="125"/>
      <c r="H43" s="17"/>
      <c r="I43" s="18"/>
      <c r="J43" s="18"/>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f>+(1000*15%)+1000</f>
        <v>1150</v>
      </c>
      <c r="DL43" s="19">
        <f>+(1050*15%)+1050</f>
        <v>1207.5</v>
      </c>
      <c r="DM43" s="19"/>
      <c r="DN43" s="44">
        <v>1428</v>
      </c>
      <c r="DO43" s="22"/>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45">
        <f>MEDIAN(DK43,DL43,DN43)</f>
        <v>1207.5</v>
      </c>
      <c r="ER43" s="45">
        <f>AVERAGE(DK43,DL43,DN43)</f>
        <v>1261.8333333333333</v>
      </c>
      <c r="ES43" s="45">
        <f>+STDEV(DK43,DL43,DN43)</f>
        <v>146.74836739580218</v>
      </c>
      <c r="ET43" s="46">
        <f t="shared" si="4"/>
        <v>0.11629774195942585</v>
      </c>
      <c r="EU43" s="44">
        <f t="shared" si="15"/>
        <v>1060.5042016806724</v>
      </c>
      <c r="EV43" s="44">
        <f t="shared" si="16"/>
        <v>201.49579831932775</v>
      </c>
      <c r="EW43" s="44">
        <f t="shared" si="17"/>
        <v>1262</v>
      </c>
      <c r="EX43" s="103">
        <f t="shared" si="18"/>
        <v>528778</v>
      </c>
      <c r="EY43" s="26" t="s">
        <v>218</v>
      </c>
    </row>
    <row r="44" spans="1:155" ht="108" x14ac:dyDescent="0.35">
      <c r="A44" s="61">
        <v>34</v>
      </c>
      <c r="B44" s="145" t="s">
        <v>27</v>
      </c>
      <c r="C44" s="64" t="s">
        <v>289</v>
      </c>
      <c r="D44" s="62" t="s">
        <v>28</v>
      </c>
      <c r="E44" s="62">
        <v>184</v>
      </c>
      <c r="F44" s="63"/>
      <c r="G44" s="125"/>
      <c r="H44" s="17"/>
      <c r="I44" s="18"/>
      <c r="J44" s="18"/>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19"/>
      <c r="CN44" s="19"/>
      <c r="CO44" s="19"/>
      <c r="CP44" s="19"/>
      <c r="CQ44" s="19"/>
      <c r="CR44" s="19"/>
      <c r="CS44" s="19"/>
      <c r="CT44" s="19"/>
      <c r="CU44" s="19"/>
      <c r="CV44" s="19"/>
      <c r="CW44" s="19"/>
      <c r="CX44" s="19"/>
      <c r="CY44" s="19"/>
      <c r="CZ44" s="19"/>
      <c r="DA44" s="19"/>
      <c r="DB44" s="19"/>
      <c r="DC44" s="19"/>
      <c r="DD44" s="19"/>
      <c r="DE44" s="19"/>
      <c r="DF44" s="19"/>
      <c r="DG44" s="19"/>
      <c r="DH44" s="19"/>
      <c r="DI44" s="19"/>
      <c r="DJ44" s="19"/>
      <c r="DK44" s="19"/>
      <c r="DL44" s="19"/>
      <c r="DM44" s="19"/>
      <c r="DN44" s="44">
        <v>5355</v>
      </c>
      <c r="DO44" s="22"/>
      <c r="DP44" s="44">
        <v>6545</v>
      </c>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5">
        <f>MEDIAN(DN44,DP44)</f>
        <v>5950</v>
      </c>
      <c r="ER44" s="45">
        <f>AVERAGE(DN44,DP44)</f>
        <v>5950</v>
      </c>
      <c r="ES44" s="45">
        <f>+STDEV(DN44,DP44)</f>
        <v>841.45706961199153</v>
      </c>
      <c r="ET44" s="46">
        <f t="shared" si="4"/>
        <v>0.1414213562373095</v>
      </c>
      <c r="EU44" s="44">
        <f t="shared" si="15"/>
        <v>5000</v>
      </c>
      <c r="EV44" s="44">
        <f t="shared" si="16"/>
        <v>950</v>
      </c>
      <c r="EW44" s="44">
        <f t="shared" si="17"/>
        <v>5950</v>
      </c>
      <c r="EX44" s="103">
        <f t="shared" si="18"/>
        <v>1094800</v>
      </c>
      <c r="EY44" s="26" t="s">
        <v>109</v>
      </c>
    </row>
    <row r="45" spans="1:155" ht="67.5" x14ac:dyDescent="0.35">
      <c r="A45" s="61">
        <v>35</v>
      </c>
      <c r="B45" s="145" t="s">
        <v>29</v>
      </c>
      <c r="C45" s="64" t="s">
        <v>290</v>
      </c>
      <c r="D45" s="62" t="s">
        <v>17</v>
      </c>
      <c r="E45" s="62">
        <v>10</v>
      </c>
      <c r="F45" s="63"/>
      <c r="G45" s="125"/>
      <c r="H45" s="17"/>
      <c r="I45" s="18"/>
      <c r="J45" s="18"/>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c r="CA45" s="19"/>
      <c r="CB45" s="19"/>
      <c r="CC45" s="19"/>
      <c r="CD45" s="19"/>
      <c r="CE45" s="19"/>
      <c r="CF45" s="19"/>
      <c r="CG45" s="19"/>
      <c r="CH45" s="19"/>
      <c r="CI45" s="19"/>
      <c r="CJ45" s="19"/>
      <c r="CK45" s="19"/>
      <c r="CL45" s="19"/>
      <c r="CM45" s="19"/>
      <c r="CN45" s="19"/>
      <c r="CO45" s="19"/>
      <c r="CP45" s="19"/>
      <c r="CQ45" s="19"/>
      <c r="CR45" s="19"/>
      <c r="CS45" s="19"/>
      <c r="CT45" s="19"/>
      <c r="CU45" s="19"/>
      <c r="CV45" s="19"/>
      <c r="CW45" s="19"/>
      <c r="CX45" s="19"/>
      <c r="CY45" s="19"/>
      <c r="CZ45" s="19"/>
      <c r="DA45" s="19"/>
      <c r="DB45" s="19"/>
      <c r="DC45" s="19"/>
      <c r="DD45" s="19"/>
      <c r="DE45" s="19"/>
      <c r="DF45" s="19"/>
      <c r="DG45" s="19"/>
      <c r="DH45" s="19"/>
      <c r="DI45" s="19"/>
      <c r="DJ45" s="19"/>
      <c r="DK45" s="54">
        <f>+(14900*15%)+14900</f>
        <v>17135</v>
      </c>
      <c r="DL45" s="19"/>
      <c r="DM45" s="54">
        <f>+(16460*15%)+16460</f>
        <v>18929</v>
      </c>
      <c r="DN45" s="44">
        <v>21420</v>
      </c>
      <c r="DO45" s="22"/>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45">
        <f>MEDIAN(DK45,DM45,DN45)</f>
        <v>18929</v>
      </c>
      <c r="ER45" s="45">
        <f>AVERAGE(DK45,DM45,DN45)</f>
        <v>19161.333333333332</v>
      </c>
      <c r="ES45" s="45">
        <f>+STDEV(DK45,DM45,DN45)</f>
        <v>2151.9271208229457</v>
      </c>
      <c r="ET45" s="46">
        <f t="shared" si="4"/>
        <v>0.11230570876189613</v>
      </c>
      <c r="EU45" s="44">
        <f t="shared" si="15"/>
        <v>16102.521008403362</v>
      </c>
      <c r="EV45" s="44">
        <f t="shared" si="16"/>
        <v>3059.4789915966389</v>
      </c>
      <c r="EW45" s="44">
        <f t="shared" si="17"/>
        <v>19162</v>
      </c>
      <c r="EX45" s="103">
        <f t="shared" si="18"/>
        <v>191620</v>
      </c>
      <c r="EY45" s="26" t="s">
        <v>109</v>
      </c>
    </row>
    <row r="46" spans="1:155" ht="40.5" x14ac:dyDescent="0.35">
      <c r="A46" s="61">
        <v>36</v>
      </c>
      <c r="B46" s="64" t="s">
        <v>30</v>
      </c>
      <c r="C46" s="64" t="s">
        <v>291</v>
      </c>
      <c r="D46" s="62" t="s">
        <v>17</v>
      </c>
      <c r="E46" s="62">
        <v>20</v>
      </c>
      <c r="F46" s="63"/>
      <c r="G46" s="125"/>
      <c r="H46" s="17"/>
      <c r="I46" s="18"/>
      <c r="J46" s="18"/>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48">
        <v>2100</v>
      </c>
      <c r="BE46" s="48">
        <v>2207</v>
      </c>
      <c r="BF46" s="48">
        <v>1698</v>
      </c>
      <c r="BG46" s="48">
        <v>1785</v>
      </c>
      <c r="BH46" s="49">
        <v>2300</v>
      </c>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44">
        <v>7140</v>
      </c>
      <c r="DO46" s="22"/>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45">
        <f>MEDIAN(BE46,BG46,BH46)</f>
        <v>2207</v>
      </c>
      <c r="ER46" s="45">
        <f>AVERAGE(BE46,BG46,BH46)</f>
        <v>2097.3333333333335</v>
      </c>
      <c r="ES46" s="45">
        <f>+STDEV(BE46,BG46,BH46)</f>
        <v>274.45643248671183</v>
      </c>
      <c r="ET46" s="46">
        <f t="shared" si="4"/>
        <v>0.13085971034013597</v>
      </c>
      <c r="EU46" s="44">
        <f t="shared" si="15"/>
        <v>1763.0252100840337</v>
      </c>
      <c r="EV46" s="44">
        <f t="shared" si="16"/>
        <v>334.97478991596643</v>
      </c>
      <c r="EW46" s="44">
        <f t="shared" si="17"/>
        <v>2098</v>
      </c>
      <c r="EX46" s="103">
        <f t="shared" si="18"/>
        <v>41960</v>
      </c>
      <c r="EY46" s="26" t="s">
        <v>109</v>
      </c>
    </row>
    <row r="47" spans="1:155" ht="40.5" x14ac:dyDescent="0.35">
      <c r="A47" s="61">
        <v>37</v>
      </c>
      <c r="B47" s="64" t="s">
        <v>153</v>
      </c>
      <c r="C47" s="64" t="s">
        <v>292</v>
      </c>
      <c r="D47" s="62" t="s">
        <v>17</v>
      </c>
      <c r="E47" s="62">
        <v>20</v>
      </c>
      <c r="F47" s="63"/>
      <c r="G47" s="125"/>
      <c r="H47" s="17"/>
      <c r="I47" s="18"/>
      <c r="J47" s="18"/>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48">
        <v>5462</v>
      </c>
      <c r="BE47" s="48">
        <v>5741</v>
      </c>
      <c r="BF47" s="48">
        <v>6100</v>
      </c>
      <c r="BG47" s="48">
        <v>6411</v>
      </c>
      <c r="BH47" s="19"/>
      <c r="BI47" s="48">
        <v>5840</v>
      </c>
      <c r="BJ47" s="48">
        <v>6138</v>
      </c>
      <c r="BK47" s="48"/>
      <c r="BL47" s="48"/>
      <c r="BM47" s="48"/>
      <c r="BN47" s="48"/>
      <c r="BO47" s="48"/>
      <c r="BP47" s="48"/>
      <c r="BQ47" s="48"/>
      <c r="BR47" s="48"/>
      <c r="BS47" s="48"/>
      <c r="BT47" s="48"/>
      <c r="BU47" s="48"/>
      <c r="BV47" s="48"/>
      <c r="BW47" s="48"/>
      <c r="BX47" s="48"/>
      <c r="BY47" s="48"/>
      <c r="BZ47" s="48"/>
      <c r="CA47" s="48"/>
      <c r="CB47" s="48"/>
      <c r="CC47" s="48"/>
      <c r="CD47" s="48"/>
      <c r="CE47" s="48"/>
      <c r="CF47" s="48"/>
      <c r="CG47" s="48"/>
      <c r="CH47" s="48"/>
      <c r="CI47" s="48"/>
      <c r="CJ47" s="48"/>
      <c r="CK47" s="48"/>
      <c r="CL47" s="48"/>
      <c r="CM47" s="48"/>
      <c r="CN47" s="48"/>
      <c r="CO47" s="48"/>
      <c r="CP47" s="48"/>
      <c r="CQ47" s="48"/>
      <c r="CR47" s="48"/>
      <c r="CS47" s="48"/>
      <c r="CT47" s="48"/>
      <c r="CU47" s="48"/>
      <c r="CV47" s="48"/>
      <c r="CW47" s="48"/>
      <c r="CX47" s="48"/>
      <c r="CY47" s="48"/>
      <c r="CZ47" s="48"/>
      <c r="DA47" s="48"/>
      <c r="DB47" s="48"/>
      <c r="DC47" s="48"/>
      <c r="DD47" s="48"/>
      <c r="DE47" s="48"/>
      <c r="DF47" s="48"/>
      <c r="DG47" s="48"/>
      <c r="DH47" s="48"/>
      <c r="DI47" s="48"/>
      <c r="DJ47" s="48"/>
      <c r="DK47" s="48"/>
      <c r="DL47" s="48"/>
      <c r="DM47" s="48"/>
      <c r="DN47" s="44">
        <v>5950</v>
      </c>
      <c r="DO47" s="22"/>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45">
        <f>MEDIAN(BE47,BG47,BJ47)</f>
        <v>6138</v>
      </c>
      <c r="ER47" s="45">
        <f>AVERAGE(BE47,BG47,BJ47)</f>
        <v>6096.666666666667</v>
      </c>
      <c r="ES47" s="45">
        <f>+STDEV(BE47,BG47,BJ47)</f>
        <v>336.90700992014598</v>
      </c>
      <c r="ET47" s="46">
        <f t="shared" si="4"/>
        <v>5.5260854552238267E-2</v>
      </c>
      <c r="EU47" s="44">
        <f t="shared" si="15"/>
        <v>5123.5294117647063</v>
      </c>
      <c r="EV47" s="44">
        <f t="shared" si="16"/>
        <v>973.47058823529426</v>
      </c>
      <c r="EW47" s="44">
        <f t="shared" si="17"/>
        <v>6097</v>
      </c>
      <c r="EX47" s="103">
        <f t="shared" si="18"/>
        <v>121940</v>
      </c>
      <c r="EY47" s="26" t="s">
        <v>109</v>
      </c>
    </row>
    <row r="48" spans="1:155" ht="27" x14ac:dyDescent="0.35">
      <c r="A48" s="61">
        <v>38</v>
      </c>
      <c r="B48" s="145" t="s">
        <v>31</v>
      </c>
      <c r="C48" s="64" t="s">
        <v>293</v>
      </c>
      <c r="D48" s="62" t="s">
        <v>32</v>
      </c>
      <c r="E48" s="62">
        <v>8</v>
      </c>
      <c r="F48" s="63"/>
      <c r="G48" s="125"/>
      <c r="H48" s="17"/>
      <c r="I48" s="18"/>
      <c r="J48" s="18"/>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c r="CA48" s="19"/>
      <c r="CB48" s="19"/>
      <c r="CC48" s="19"/>
      <c r="CD48" s="19"/>
      <c r="CE48" s="19"/>
      <c r="CF48" s="19"/>
      <c r="CG48" s="19"/>
      <c r="CH48" s="19"/>
      <c r="CI48" s="19"/>
      <c r="CJ48" s="19"/>
      <c r="CK48" s="19"/>
      <c r="CL48" s="19"/>
      <c r="CM48" s="19"/>
      <c r="CN48" s="19"/>
      <c r="CO48" s="19"/>
      <c r="CP48" s="19"/>
      <c r="CQ48" s="19"/>
      <c r="CR48" s="19"/>
      <c r="CS48" s="19"/>
      <c r="CT48" s="19"/>
      <c r="CU48" s="19"/>
      <c r="CV48" s="19"/>
      <c r="CW48" s="19"/>
      <c r="CX48" s="19"/>
      <c r="CY48" s="19"/>
      <c r="CZ48" s="19"/>
      <c r="DA48" s="19"/>
      <c r="DB48" s="19"/>
      <c r="DC48" s="19"/>
      <c r="DD48" s="19"/>
      <c r="DE48" s="19"/>
      <c r="DF48" s="19"/>
      <c r="DG48" s="19"/>
      <c r="DH48" s="19"/>
      <c r="DI48" s="19"/>
      <c r="DJ48" s="19"/>
      <c r="DK48" s="19"/>
      <c r="DL48" s="19"/>
      <c r="DM48" s="19"/>
      <c r="DN48" s="44">
        <v>7140</v>
      </c>
      <c r="DO48" s="22"/>
      <c r="DP48" s="23">
        <v>6426</v>
      </c>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45">
        <f>MEDIAN(DN48,DP48)</f>
        <v>6783</v>
      </c>
      <c r="ER48" s="45">
        <f>AVERAGE(DN48,DP48)</f>
        <v>6783</v>
      </c>
      <c r="ES48" s="45">
        <f>+STDEV(DN48,DP48)</f>
        <v>504.87424176719492</v>
      </c>
      <c r="ET48" s="46">
        <f t="shared" ref="ET48:ET50" si="19">ES48/ER48</f>
        <v>7.4432292756478682E-2</v>
      </c>
      <c r="EU48" s="44">
        <f t="shared" si="15"/>
        <v>5700</v>
      </c>
      <c r="EV48" s="44">
        <f t="shared" si="16"/>
        <v>1083</v>
      </c>
      <c r="EW48" s="44">
        <f t="shared" si="17"/>
        <v>6783</v>
      </c>
      <c r="EX48" s="103">
        <f t="shared" si="18"/>
        <v>54264</v>
      </c>
      <c r="EY48" s="26" t="s">
        <v>109</v>
      </c>
    </row>
    <row r="49" spans="1:155" ht="108.75" x14ac:dyDescent="0.35">
      <c r="A49" s="61">
        <v>39</v>
      </c>
      <c r="B49" s="141" t="s">
        <v>33</v>
      </c>
      <c r="C49" s="143" t="s">
        <v>294</v>
      </c>
      <c r="D49" s="62" t="s">
        <v>34</v>
      </c>
      <c r="E49" s="62">
        <v>20</v>
      </c>
      <c r="F49" s="63"/>
      <c r="G49" s="125"/>
      <c r="H49" s="17"/>
      <c r="I49" s="18"/>
      <c r="J49" s="18"/>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19"/>
      <c r="CN49" s="19"/>
      <c r="CO49" s="19"/>
      <c r="CP49" s="19"/>
      <c r="CQ49" s="19"/>
      <c r="CR49" s="19"/>
      <c r="CS49" s="19"/>
      <c r="CT49" s="19"/>
      <c r="CU49" s="19"/>
      <c r="CV49" s="19"/>
      <c r="CW49" s="19"/>
      <c r="CX49" s="19"/>
      <c r="CY49" s="19"/>
      <c r="CZ49" s="19"/>
      <c r="DA49" s="19"/>
      <c r="DB49" s="19"/>
      <c r="DC49" s="19"/>
      <c r="DD49" s="19"/>
      <c r="DE49" s="19"/>
      <c r="DF49" s="19"/>
      <c r="DG49" s="19"/>
      <c r="DH49" s="19"/>
      <c r="DI49" s="19"/>
      <c r="DJ49" s="19"/>
      <c r="DK49" s="19"/>
      <c r="DL49" s="19"/>
      <c r="DM49" s="19"/>
      <c r="DN49" s="44">
        <v>14280</v>
      </c>
      <c r="DO49" s="22"/>
      <c r="DP49" s="23">
        <v>16660</v>
      </c>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45">
        <f>MEDIAN(DN49,DP49)</f>
        <v>15470</v>
      </c>
      <c r="ER49" s="45">
        <f>AVERAGE(DN49,DP49)</f>
        <v>15470</v>
      </c>
      <c r="ES49" s="45">
        <f>+STDEV(DN49,DP49)</f>
        <v>1682.9141392239831</v>
      </c>
      <c r="ET49" s="46">
        <f t="shared" si="19"/>
        <v>0.10878565864408424</v>
      </c>
      <c r="EU49" s="44">
        <f t="shared" si="15"/>
        <v>13000</v>
      </c>
      <c r="EV49" s="44">
        <f t="shared" si="16"/>
        <v>2470</v>
      </c>
      <c r="EW49" s="44">
        <f t="shared" si="17"/>
        <v>15470</v>
      </c>
      <c r="EX49" s="103">
        <f t="shared" si="18"/>
        <v>309400</v>
      </c>
      <c r="EY49" s="26" t="s">
        <v>109</v>
      </c>
    </row>
    <row r="50" spans="1:155" ht="40.5" x14ac:dyDescent="0.35">
      <c r="A50" s="61">
        <v>40</v>
      </c>
      <c r="B50" s="143" t="s">
        <v>55</v>
      </c>
      <c r="C50" s="130" t="s">
        <v>176</v>
      </c>
      <c r="D50" s="26" t="s">
        <v>17</v>
      </c>
      <c r="E50" s="62">
        <v>165</v>
      </c>
      <c r="F50" s="63"/>
      <c r="G50" s="125"/>
      <c r="H50" s="17"/>
      <c r="I50" s="18"/>
      <c r="J50" s="18"/>
      <c r="K50" s="19"/>
      <c r="L50" s="19"/>
      <c r="M50" s="19"/>
      <c r="N50" s="19"/>
      <c r="O50" s="19"/>
      <c r="P50" s="19"/>
      <c r="Q50" s="49">
        <v>22610</v>
      </c>
      <c r="R50" s="16">
        <f>+(Q50*5.1%)+Q50</f>
        <v>23763.11</v>
      </c>
      <c r="S50" s="49">
        <v>23800</v>
      </c>
      <c r="T50" s="16">
        <f>+(S50*5.1%)+S50</f>
        <v>25013.8</v>
      </c>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49">
        <v>24000</v>
      </c>
      <c r="AW50" s="49">
        <f t="shared" ref="AW50" si="20">+(AV50*5.1%)+AV50</f>
        <v>25224</v>
      </c>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49">
        <v>17800</v>
      </c>
      <c r="BX50" s="49"/>
      <c r="BY50" s="49"/>
      <c r="BZ50" s="49"/>
      <c r="CA50" s="49"/>
      <c r="CB50" s="49"/>
      <c r="CC50" s="49"/>
      <c r="CD50" s="49"/>
      <c r="CE50" s="49"/>
      <c r="CF50" s="49"/>
      <c r="CG50" s="49"/>
      <c r="CH50" s="49"/>
      <c r="CI50" s="49"/>
      <c r="CJ50" s="49"/>
      <c r="CK50" s="49"/>
      <c r="CL50" s="49"/>
      <c r="CM50" s="49"/>
      <c r="CN50" s="49"/>
      <c r="CO50" s="49"/>
      <c r="CP50" s="49"/>
      <c r="CQ50" s="49"/>
      <c r="CR50" s="49"/>
      <c r="CS50" s="49"/>
      <c r="CT50" s="49"/>
      <c r="CU50" s="49"/>
      <c r="CV50" s="49"/>
      <c r="CW50" s="49"/>
      <c r="CX50" s="49"/>
      <c r="CY50" s="49"/>
      <c r="CZ50" s="49"/>
      <c r="DA50" s="49"/>
      <c r="DB50" s="49"/>
      <c r="DC50" s="49"/>
      <c r="DD50" s="49"/>
      <c r="DE50" s="49"/>
      <c r="DF50" s="49"/>
      <c r="DG50" s="49"/>
      <c r="DH50" s="49"/>
      <c r="DI50" s="49"/>
      <c r="DJ50" s="49"/>
      <c r="DK50" s="49"/>
      <c r="DL50" s="49"/>
      <c r="DM50" s="49"/>
      <c r="DN50" s="44"/>
      <c r="DO50" s="22"/>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45">
        <f>MEDIAN(R50,T50,AW50,BW50)</f>
        <v>24388.455000000002</v>
      </c>
      <c r="ER50" s="45">
        <f>AVERAGE(R50,T50,AW50,BW50)</f>
        <v>22950.227500000001</v>
      </c>
      <c r="ES50" s="45">
        <f>+STDEV(R50,T50,AW50,BW50)</f>
        <v>3493.5175256024731</v>
      </c>
      <c r="ET50" s="46">
        <f t="shared" si="19"/>
        <v>0.15222147691575053</v>
      </c>
      <c r="EU50" s="44">
        <f>EW50/1.19</f>
        <v>20494.957983193279</v>
      </c>
      <c r="EV50" s="44">
        <f>EU50*19%</f>
        <v>3894.042016806723</v>
      </c>
      <c r="EW50" s="44">
        <f>+ROUNDUP(IF(ET50&lt;15%,ER50,EQ50),0)</f>
        <v>24389</v>
      </c>
      <c r="EX50" s="103">
        <f t="shared" si="18"/>
        <v>4024185</v>
      </c>
      <c r="EY50" s="26" t="s">
        <v>109</v>
      </c>
    </row>
    <row r="51" spans="1:155" ht="54" x14ac:dyDescent="0.35">
      <c r="A51" s="61">
        <v>41</v>
      </c>
      <c r="B51" s="64" t="s">
        <v>155</v>
      </c>
      <c r="C51" s="64" t="s">
        <v>295</v>
      </c>
      <c r="D51" s="62" t="s">
        <v>32</v>
      </c>
      <c r="E51" s="62">
        <v>25</v>
      </c>
      <c r="F51" s="63"/>
      <c r="G51" s="125"/>
      <c r="H51" s="17"/>
      <c r="I51" s="18"/>
      <c r="J51" s="18"/>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48">
        <v>17647</v>
      </c>
      <c r="BE51" s="48">
        <v>18547</v>
      </c>
      <c r="BF51" s="48">
        <v>15072</v>
      </c>
      <c r="BG51" s="48">
        <v>15841</v>
      </c>
      <c r="BH51" s="49">
        <v>18000</v>
      </c>
      <c r="BI51" s="19"/>
      <c r="BJ51" s="19"/>
      <c r="BK51" s="19"/>
      <c r="BL51" s="19"/>
      <c r="BM51" s="19"/>
      <c r="BN51" s="19"/>
      <c r="BO51" s="19"/>
      <c r="BP51" s="19"/>
      <c r="BQ51" s="19"/>
      <c r="BR51" s="19"/>
      <c r="BS51" s="19"/>
      <c r="BT51" s="19"/>
      <c r="BU51" s="19"/>
      <c r="BV51" s="19"/>
      <c r="BW51" s="19"/>
      <c r="BX51" s="19"/>
      <c r="BY51" s="19"/>
      <c r="BZ51" s="19"/>
      <c r="CA51" s="19"/>
      <c r="CB51" s="19"/>
      <c r="CC51" s="19"/>
      <c r="CD51" s="19"/>
      <c r="CE51" s="19"/>
      <c r="CF51" s="19"/>
      <c r="CG51" s="19"/>
      <c r="CH51" s="19"/>
      <c r="CI51" s="19"/>
      <c r="CJ51" s="19"/>
      <c r="CK51" s="19"/>
      <c r="CL51" s="19"/>
      <c r="CM51" s="19"/>
      <c r="CN51" s="19"/>
      <c r="CO51" s="19"/>
      <c r="CP51" s="19"/>
      <c r="CQ51" s="19"/>
      <c r="CR51" s="19"/>
      <c r="CS51" s="19"/>
      <c r="CT51" s="19"/>
      <c r="CU51" s="19"/>
      <c r="CV51" s="19"/>
      <c r="CW51" s="19"/>
      <c r="CX51" s="19"/>
      <c r="CY51" s="19"/>
      <c r="CZ51" s="19"/>
      <c r="DA51" s="19"/>
      <c r="DB51" s="19"/>
      <c r="DC51" s="19"/>
      <c r="DD51" s="19"/>
      <c r="DE51" s="19"/>
      <c r="DF51" s="19"/>
      <c r="DG51" s="19"/>
      <c r="DH51" s="19"/>
      <c r="DI51" s="19"/>
      <c r="DJ51" s="19"/>
      <c r="DK51" s="19"/>
      <c r="DL51" s="19"/>
      <c r="DM51" s="19"/>
      <c r="DN51" s="44"/>
      <c r="DO51" s="22"/>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45">
        <f>MEDIAN(BE51,BG51,BH51)</f>
        <v>18000</v>
      </c>
      <c r="ER51" s="45">
        <f>AVERAGE(BE51,BG51,BH51)</f>
        <v>17462.666666666668</v>
      </c>
      <c r="ES51" s="45">
        <f>+STDEV(BE51,BG51,BH51)</f>
        <v>1430.7880113187045</v>
      </c>
      <c r="ET51" s="46">
        <f t="shared" si="4"/>
        <v>8.1934107695581307E-2</v>
      </c>
      <c r="EU51" s="44">
        <f t="shared" si="15"/>
        <v>14674.789915966387</v>
      </c>
      <c r="EV51" s="44">
        <f t="shared" si="16"/>
        <v>2788.2100840336134</v>
      </c>
      <c r="EW51" s="44">
        <f t="shared" si="17"/>
        <v>17463</v>
      </c>
      <c r="EX51" s="103">
        <f t="shared" si="18"/>
        <v>436575</v>
      </c>
      <c r="EY51" s="26" t="s">
        <v>109</v>
      </c>
    </row>
    <row r="52" spans="1:155" ht="75" customHeight="1" x14ac:dyDescent="0.35">
      <c r="A52" s="61">
        <v>42</v>
      </c>
      <c r="B52" s="145" t="s">
        <v>35</v>
      </c>
      <c r="C52" s="64" t="s">
        <v>386</v>
      </c>
      <c r="D52" s="62" t="s">
        <v>17</v>
      </c>
      <c r="E52" s="62">
        <v>165</v>
      </c>
      <c r="F52" s="63"/>
      <c r="G52" s="125"/>
      <c r="H52" s="17"/>
      <c r="I52" s="18"/>
      <c r="J52" s="18"/>
      <c r="K52" s="19"/>
      <c r="L52" s="19"/>
      <c r="M52" s="19"/>
      <c r="N52" s="19"/>
      <c r="O52" s="19"/>
      <c r="P52" s="19"/>
      <c r="Q52" s="19"/>
      <c r="R52" s="19"/>
      <c r="S52" s="19"/>
      <c r="T52" s="19"/>
      <c r="U52" s="19"/>
      <c r="V52" s="19"/>
      <c r="W52" s="19"/>
      <c r="X52" s="19"/>
      <c r="Y52" s="19"/>
      <c r="Z52" s="19"/>
      <c r="AA52" s="19"/>
      <c r="AB52" s="19"/>
      <c r="AC52" s="19"/>
      <c r="AD52" s="19"/>
      <c r="AE52" s="48"/>
      <c r="AF52" s="48"/>
      <c r="AG52" s="48"/>
      <c r="AH52" s="48"/>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c r="CA52" s="19"/>
      <c r="CB52" s="19"/>
      <c r="CC52" s="19"/>
      <c r="CD52" s="19"/>
      <c r="CE52" s="19"/>
      <c r="CF52" s="19"/>
      <c r="CG52" s="19"/>
      <c r="CH52" s="19"/>
      <c r="CI52" s="19"/>
      <c r="CJ52" s="19"/>
      <c r="CK52" s="19"/>
      <c r="CL52" s="19"/>
      <c r="CM52" s="19"/>
      <c r="CN52" s="19"/>
      <c r="CO52" s="19"/>
      <c r="CP52" s="19"/>
      <c r="CQ52" s="19"/>
      <c r="CR52" s="19"/>
      <c r="CS52" s="19"/>
      <c r="CT52" s="19"/>
      <c r="CU52" s="19"/>
      <c r="CV52" s="19"/>
      <c r="CW52" s="19"/>
      <c r="CX52" s="19"/>
      <c r="CY52" s="19"/>
      <c r="CZ52" s="19"/>
      <c r="DA52" s="19"/>
      <c r="DB52" s="19"/>
      <c r="DC52" s="19"/>
      <c r="DD52" s="19"/>
      <c r="DE52" s="19"/>
      <c r="DF52" s="19"/>
      <c r="DG52" s="19"/>
      <c r="DH52" s="19"/>
      <c r="DI52" s="19"/>
      <c r="DJ52" s="19"/>
      <c r="DK52" s="19"/>
      <c r="DL52" s="19"/>
      <c r="DM52" s="19"/>
      <c r="DN52" s="44"/>
      <c r="DO52" s="22"/>
      <c r="DP52" s="23"/>
      <c r="DQ52" s="23"/>
      <c r="DR52" s="23"/>
      <c r="DS52" s="23"/>
      <c r="DT52" s="23"/>
      <c r="DU52" s="23"/>
      <c r="DV52" s="23"/>
      <c r="DW52" s="23"/>
      <c r="DX52" s="23"/>
      <c r="DY52" s="23"/>
      <c r="DZ52" s="23"/>
      <c r="EA52" s="23"/>
      <c r="EB52" s="23"/>
      <c r="EC52" s="23"/>
      <c r="ED52" s="23"/>
      <c r="EE52" s="23"/>
      <c r="EF52" s="23"/>
      <c r="EG52" s="200">
        <v>22900</v>
      </c>
      <c r="EH52" s="200">
        <f>+EG52/1.19</f>
        <v>19243.697478991598</v>
      </c>
      <c r="EI52" s="200">
        <f>+(EH52*36%)+EH52</f>
        <v>26171.428571428572</v>
      </c>
      <c r="EJ52" s="200">
        <v>19900</v>
      </c>
      <c r="EK52" s="200">
        <f>+EJ52/1.19</f>
        <v>16722.689075630253</v>
      </c>
      <c r="EL52" s="200">
        <f>+(EK52*36%)+EK52</f>
        <v>22742.857142857145</v>
      </c>
      <c r="EM52" s="200"/>
      <c r="EN52" s="200"/>
      <c r="EO52" s="200"/>
      <c r="EP52" s="200"/>
      <c r="EQ52" s="45">
        <f>MEDIAN(EI52,EL52)</f>
        <v>24457.142857142859</v>
      </c>
      <c r="ER52" s="45">
        <f>AVERAGE(EI52,EL52)</f>
        <v>24457.142857142859</v>
      </c>
      <c r="ES52" s="45">
        <f>+STDEV(EI52,EL52)</f>
        <v>2424.3661069253053</v>
      </c>
      <c r="ET52" s="46">
        <f t="shared" si="4"/>
        <v>9.9127118857927202E-2</v>
      </c>
      <c r="EU52" s="44">
        <f t="shared" si="15"/>
        <v>20552.941176470587</v>
      </c>
      <c r="EV52" s="44">
        <f t="shared" si="16"/>
        <v>3905.0588235294117</v>
      </c>
      <c r="EW52" s="44">
        <f t="shared" si="17"/>
        <v>24458</v>
      </c>
      <c r="EX52" s="103">
        <f t="shared" si="18"/>
        <v>4035570</v>
      </c>
      <c r="EY52" s="26" t="s">
        <v>109</v>
      </c>
    </row>
    <row r="53" spans="1:155" ht="94.5" x14ac:dyDescent="0.35">
      <c r="A53" s="61">
        <v>43</v>
      </c>
      <c r="B53" s="145" t="s">
        <v>36</v>
      </c>
      <c r="C53" s="64" t="s">
        <v>296</v>
      </c>
      <c r="D53" s="62" t="s">
        <v>17</v>
      </c>
      <c r="E53" s="62">
        <v>165</v>
      </c>
      <c r="F53" s="63"/>
      <c r="G53" s="125"/>
      <c r="H53" s="17"/>
      <c r="I53" s="18"/>
      <c r="J53" s="18"/>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c r="CA53" s="19"/>
      <c r="CB53" s="19"/>
      <c r="CC53" s="19"/>
      <c r="CD53" s="19"/>
      <c r="CE53" s="19"/>
      <c r="CF53" s="19"/>
      <c r="CG53" s="19"/>
      <c r="CH53" s="19"/>
      <c r="CI53" s="19"/>
      <c r="CJ53" s="19"/>
      <c r="CK53" s="19"/>
      <c r="CL53" s="19"/>
      <c r="CM53" s="19"/>
      <c r="CN53" s="19"/>
      <c r="CO53" s="19"/>
      <c r="CP53" s="19"/>
      <c r="CQ53" s="19"/>
      <c r="CR53" s="19"/>
      <c r="CS53" s="19"/>
      <c r="CT53" s="19"/>
      <c r="CU53" s="19"/>
      <c r="CV53" s="19"/>
      <c r="CW53" s="19"/>
      <c r="CX53" s="19"/>
      <c r="CY53" s="19"/>
      <c r="CZ53" s="19"/>
      <c r="DA53" s="19"/>
      <c r="DB53" s="19"/>
      <c r="DC53" s="19"/>
      <c r="DD53" s="19"/>
      <c r="DE53" s="19"/>
      <c r="DF53" s="19"/>
      <c r="DG53" s="19"/>
      <c r="DH53" s="19"/>
      <c r="DI53" s="19"/>
      <c r="DJ53" s="19"/>
      <c r="DK53" s="19"/>
      <c r="DL53" s="19"/>
      <c r="DM53" s="19"/>
      <c r="DN53" s="44">
        <v>21420</v>
      </c>
      <c r="DO53" s="22"/>
      <c r="DP53" s="23">
        <v>26180</v>
      </c>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45">
        <f>MEDIAN(DN53,DP53)</f>
        <v>23800</v>
      </c>
      <c r="ER53" s="45">
        <f>AVERAGE(DN53,DP53)</f>
        <v>23800</v>
      </c>
      <c r="ES53" s="45">
        <f>+STDEV(DN53,DP53)</f>
        <v>3365.8282784479661</v>
      </c>
      <c r="ET53" s="46">
        <f t="shared" ref="ET53" si="21">ES53/ER53</f>
        <v>0.1414213562373095</v>
      </c>
      <c r="EU53" s="44">
        <f t="shared" si="15"/>
        <v>20000</v>
      </c>
      <c r="EV53" s="44">
        <f t="shared" si="16"/>
        <v>3800</v>
      </c>
      <c r="EW53" s="44">
        <f t="shared" si="17"/>
        <v>23800</v>
      </c>
      <c r="EX53" s="103">
        <f t="shared" si="18"/>
        <v>3927000</v>
      </c>
      <c r="EY53" s="26" t="s">
        <v>109</v>
      </c>
    </row>
    <row r="54" spans="1:155" ht="121.9" x14ac:dyDescent="0.35">
      <c r="A54" s="2">
        <v>44</v>
      </c>
      <c r="B54" s="141" t="s">
        <v>189</v>
      </c>
      <c r="C54" s="143" t="s">
        <v>284</v>
      </c>
      <c r="D54" s="62" t="s">
        <v>17</v>
      </c>
      <c r="E54" s="62">
        <v>165</v>
      </c>
      <c r="F54" s="63"/>
      <c r="G54" s="125"/>
      <c r="H54" s="17"/>
      <c r="I54" s="18"/>
      <c r="J54" s="18"/>
      <c r="K54" s="19"/>
      <c r="L54" s="19"/>
      <c r="M54" s="19"/>
      <c r="N54" s="19"/>
      <c r="O54" s="19"/>
      <c r="P54" s="19"/>
      <c r="Q54" s="48"/>
      <c r="R54" s="16"/>
      <c r="S54" s="48"/>
      <c r="T54" s="16"/>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c r="CA54" s="19"/>
      <c r="CB54" s="19"/>
      <c r="CC54" s="19"/>
      <c r="CD54" s="19"/>
      <c r="CE54" s="19"/>
      <c r="CF54" s="19"/>
      <c r="CG54" s="19"/>
      <c r="CH54" s="19"/>
      <c r="CI54" s="19"/>
      <c r="CJ54" s="19"/>
      <c r="CK54" s="19"/>
      <c r="CL54" s="49"/>
      <c r="CM54" s="49"/>
      <c r="CN54" s="49"/>
      <c r="CO54" s="49"/>
      <c r="CP54" s="49"/>
      <c r="CQ54" s="49"/>
      <c r="CR54" s="49"/>
      <c r="CS54" s="49"/>
      <c r="CT54" s="49"/>
      <c r="CU54" s="49"/>
      <c r="CV54" s="49"/>
      <c r="CW54" s="49"/>
      <c r="CX54" s="49"/>
      <c r="CY54" s="49"/>
      <c r="CZ54" s="49"/>
      <c r="DA54" s="49"/>
      <c r="DB54" s="49"/>
      <c r="DC54" s="49"/>
      <c r="DD54" s="49"/>
      <c r="DE54" s="49"/>
      <c r="DF54" s="49"/>
      <c r="DG54" s="49"/>
      <c r="DH54" s="49"/>
      <c r="DI54" s="49"/>
      <c r="DJ54" s="49"/>
      <c r="DK54" s="49"/>
      <c r="DL54" s="49"/>
      <c r="DM54" s="49"/>
      <c r="DN54" s="44"/>
      <c r="DO54" s="22"/>
      <c r="DP54" s="23"/>
      <c r="DQ54" s="23"/>
      <c r="DR54" s="23"/>
      <c r="DS54" s="23"/>
      <c r="DT54" s="23"/>
      <c r="DU54" s="23"/>
      <c r="DV54" s="23"/>
      <c r="DW54" s="23">
        <v>30000</v>
      </c>
      <c r="DX54" s="23"/>
      <c r="DY54" s="23"/>
      <c r="DZ54" s="23"/>
      <c r="EA54" s="23"/>
      <c r="EB54" s="23"/>
      <c r="EC54" s="23"/>
      <c r="ED54" s="23"/>
      <c r="EE54" s="23"/>
      <c r="EF54" s="202">
        <v>28000</v>
      </c>
      <c r="EG54" s="202"/>
      <c r="EH54" s="202"/>
      <c r="EI54" s="202"/>
      <c r="EJ54" s="202"/>
      <c r="EK54" s="202"/>
      <c r="EL54" s="202"/>
      <c r="EM54" s="202"/>
      <c r="EN54" s="202"/>
      <c r="EO54" s="202"/>
      <c r="EP54" s="202"/>
      <c r="EQ54" s="45">
        <f>MEDIAN(DW54,EF54)</f>
        <v>29000</v>
      </c>
      <c r="ER54" s="45">
        <f>AVERAGE(DW54,EF54)</f>
        <v>29000</v>
      </c>
      <c r="ES54" s="45">
        <f>+STDEV(DW54,EF54)</f>
        <v>1414.2135623730951</v>
      </c>
      <c r="ET54" s="46">
        <f t="shared" ref="ET54:ET55" si="22">ES54/ER54</f>
        <v>4.8765984909417075E-2</v>
      </c>
      <c r="EU54" s="44">
        <f t="shared" si="15"/>
        <v>24369.747899159665</v>
      </c>
      <c r="EV54" s="44">
        <f t="shared" si="16"/>
        <v>4630.2521008403364</v>
      </c>
      <c r="EW54" s="44">
        <f t="shared" si="17"/>
        <v>29000</v>
      </c>
      <c r="EX54" s="103">
        <f t="shared" si="18"/>
        <v>4785000</v>
      </c>
      <c r="EY54" s="26" t="s">
        <v>109</v>
      </c>
    </row>
    <row r="55" spans="1:155" ht="183.75" customHeight="1" x14ac:dyDescent="0.35">
      <c r="A55" s="61">
        <v>45</v>
      </c>
      <c r="B55" s="145" t="s">
        <v>147</v>
      </c>
      <c r="C55" s="64" t="s">
        <v>148</v>
      </c>
      <c r="D55" s="41" t="s">
        <v>17</v>
      </c>
      <c r="E55" s="26">
        <v>165</v>
      </c>
      <c r="F55" s="63"/>
      <c r="G55" s="125"/>
      <c r="H55" s="17"/>
      <c r="I55" s="18"/>
      <c r="J55" s="18"/>
      <c r="K55" s="19"/>
      <c r="L55" s="19"/>
      <c r="M55" s="19"/>
      <c r="N55" s="19"/>
      <c r="O55" s="19"/>
      <c r="P55" s="19"/>
      <c r="Q55" s="16">
        <v>15500</v>
      </c>
      <c r="R55" s="16">
        <f>+(Q55*5.1%)+Q55</f>
        <v>16290.5</v>
      </c>
      <c r="S55" s="49">
        <v>16000</v>
      </c>
      <c r="T55" s="48">
        <f>+(S55*5.1%)+S55</f>
        <v>16816</v>
      </c>
      <c r="U55" s="19"/>
      <c r="V55" s="19"/>
      <c r="W55" s="19"/>
      <c r="X55" s="19"/>
      <c r="Y55" s="19"/>
      <c r="Z55" s="19"/>
      <c r="AA55" s="51">
        <v>17000</v>
      </c>
      <c r="AB55" s="51">
        <v>17867</v>
      </c>
      <c r="AC55" s="48">
        <v>15500</v>
      </c>
      <c r="AD55" s="48">
        <v>16291</v>
      </c>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c r="CP55" s="19"/>
      <c r="CQ55" s="19"/>
      <c r="CR55" s="19"/>
      <c r="CS55" s="19"/>
      <c r="CT55" s="19"/>
      <c r="CU55" s="19"/>
      <c r="CV55" s="19"/>
      <c r="CW55" s="19"/>
      <c r="CX55" s="19"/>
      <c r="CY55" s="19"/>
      <c r="CZ55" s="19"/>
      <c r="DA55" s="19"/>
      <c r="DB55" s="19"/>
      <c r="DC55" s="19"/>
      <c r="DD55" s="19"/>
      <c r="DE55" s="19"/>
      <c r="DF55" s="19"/>
      <c r="DG55" s="19"/>
      <c r="DH55" s="19"/>
      <c r="DI55" s="19"/>
      <c r="DJ55" s="19"/>
      <c r="DK55" s="19"/>
      <c r="DL55" s="19"/>
      <c r="DM55" s="19"/>
      <c r="DN55" s="44"/>
      <c r="DO55" s="22"/>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45">
        <f>MEDIAN(AB55,AD55,R55,T55)</f>
        <v>16553.5</v>
      </c>
      <c r="ER55" s="45">
        <f>AVERAGE(AB55,AD55,R55,T55)</f>
        <v>16816.125</v>
      </c>
      <c r="ES55" s="45">
        <f>+STDEV(AB55,AD55,R55,T55)</f>
        <v>743.0514086073274</v>
      </c>
      <c r="ET55" s="46">
        <f t="shared" si="22"/>
        <v>4.4186839037372014E-2</v>
      </c>
      <c r="EU55" s="44">
        <f>EW55/1.08</f>
        <v>15571.296296296296</v>
      </c>
      <c r="EV55" s="44">
        <f>EU55*8%</f>
        <v>1245.7037037037037</v>
      </c>
      <c r="EW55" s="44">
        <f t="shared" si="17"/>
        <v>16817</v>
      </c>
      <c r="EX55" s="103">
        <f t="shared" si="18"/>
        <v>2774805</v>
      </c>
      <c r="EY55" s="26" t="s">
        <v>109</v>
      </c>
    </row>
    <row r="56" spans="1:155" ht="101.25" customHeight="1" x14ac:dyDescent="0.35">
      <c r="A56" s="61">
        <v>46</v>
      </c>
      <c r="B56" s="145" t="s">
        <v>158</v>
      </c>
      <c r="C56" s="64" t="s">
        <v>157</v>
      </c>
      <c r="D56" s="62" t="s">
        <v>17</v>
      </c>
      <c r="E56" s="62">
        <v>165</v>
      </c>
      <c r="F56" s="63"/>
      <c r="G56" s="125"/>
      <c r="H56" s="17"/>
      <c r="I56" s="18"/>
      <c r="J56" s="18"/>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48"/>
      <c r="AW56" s="49"/>
      <c r="AX56" s="19"/>
      <c r="AY56" s="19"/>
      <c r="AZ56" s="48">
        <v>2200</v>
      </c>
      <c r="BA56" s="48">
        <f>+(AZ56*5.1%)+AZ56</f>
        <v>2312.1999999999998</v>
      </c>
      <c r="BB56" s="19"/>
      <c r="BC56" s="49">
        <v>3500</v>
      </c>
      <c r="BD56" s="19"/>
      <c r="BE56" s="19"/>
      <c r="BF56" s="19"/>
      <c r="BG56" s="19"/>
      <c r="BH56" s="19"/>
      <c r="BI56" s="19"/>
      <c r="BJ56" s="19"/>
      <c r="BK56" s="19"/>
      <c r="BL56" s="19"/>
      <c r="BM56" s="19"/>
      <c r="BN56" s="19"/>
      <c r="BO56" s="19"/>
      <c r="BP56" s="19"/>
      <c r="BQ56" s="19"/>
      <c r="BR56" s="19"/>
      <c r="BS56" s="19"/>
      <c r="BT56" s="19"/>
      <c r="BU56" s="19"/>
      <c r="BV56" s="19"/>
      <c r="BW56" s="19"/>
      <c r="BX56" s="19"/>
      <c r="BY56" s="19"/>
      <c r="BZ56" s="19"/>
      <c r="CA56" s="19"/>
      <c r="CB56" s="19"/>
      <c r="CC56" s="19"/>
      <c r="CD56" s="19"/>
      <c r="CE56" s="19"/>
      <c r="CF56" s="19"/>
      <c r="CG56" s="19"/>
      <c r="CH56" s="19"/>
      <c r="CI56" s="19"/>
      <c r="CJ56" s="19"/>
      <c r="CK56" s="19"/>
      <c r="CL56" s="19"/>
      <c r="CM56" s="19"/>
      <c r="CN56" s="19"/>
      <c r="CO56" s="19"/>
      <c r="CP56" s="19"/>
      <c r="CQ56" s="19"/>
      <c r="CR56" s="19"/>
      <c r="CS56" s="19"/>
      <c r="CT56" s="19"/>
      <c r="CU56" s="19"/>
      <c r="CV56" s="19"/>
      <c r="CW56" s="19"/>
      <c r="CX56" s="19"/>
      <c r="CY56" s="19"/>
      <c r="CZ56" s="19"/>
      <c r="DA56" s="19"/>
      <c r="DB56" s="19"/>
      <c r="DC56" s="19"/>
      <c r="DD56" s="19"/>
      <c r="DE56" s="19"/>
      <c r="DF56" s="19"/>
      <c r="DG56" s="19"/>
      <c r="DH56" s="19"/>
      <c r="DI56" s="19"/>
      <c r="DJ56" s="19"/>
      <c r="DK56" s="19"/>
      <c r="DL56" s="19"/>
      <c r="DM56" s="19"/>
      <c r="DN56" s="44">
        <v>3570</v>
      </c>
      <c r="DO56" s="22"/>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45">
        <f>MEDIAN(BA56,BC56,DN56)</f>
        <v>3500</v>
      </c>
      <c r="ER56" s="45">
        <f>AVERAGE(BA56,BC56,DN56)</f>
        <v>3127.4</v>
      </c>
      <c r="ES56" s="45">
        <f>+STDEV(BA56,BC56,DN56)</f>
        <v>706.85096024550853</v>
      </c>
      <c r="ET56" s="46">
        <f t="shared" si="4"/>
        <v>0.22601872489784119</v>
      </c>
      <c r="EU56" s="44">
        <f t="shared" si="15"/>
        <v>2941.1764705882356</v>
      </c>
      <c r="EV56" s="44">
        <f t="shared" si="16"/>
        <v>558.82352941176475</v>
      </c>
      <c r="EW56" s="44">
        <f t="shared" si="17"/>
        <v>3500</v>
      </c>
      <c r="EX56" s="103">
        <f t="shared" si="18"/>
        <v>577500</v>
      </c>
      <c r="EY56" s="26" t="s">
        <v>220</v>
      </c>
    </row>
    <row r="57" spans="1:155" ht="64.5" customHeight="1" x14ac:dyDescent="0.35">
      <c r="A57" s="61">
        <v>47</v>
      </c>
      <c r="B57" s="223" t="s">
        <v>412</v>
      </c>
      <c r="C57" s="64" t="s">
        <v>387</v>
      </c>
      <c r="D57" s="62" t="s">
        <v>160</v>
      </c>
      <c r="E57" s="62">
        <v>1</v>
      </c>
      <c r="F57" s="63"/>
      <c r="G57" s="125"/>
      <c r="H57" s="17"/>
      <c r="I57" s="18"/>
      <c r="J57" s="18"/>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c r="CA57" s="19"/>
      <c r="CB57" s="19"/>
      <c r="CC57" s="19"/>
      <c r="CD57" s="19"/>
      <c r="CE57" s="19"/>
      <c r="CF57" s="19"/>
      <c r="CG57" s="19"/>
      <c r="CH57" s="19"/>
      <c r="CI57" s="19"/>
      <c r="CJ57" s="19"/>
      <c r="CK57" s="19"/>
      <c r="CL57" s="19"/>
      <c r="CM57" s="19"/>
      <c r="CN57" s="19"/>
      <c r="CO57" s="19"/>
      <c r="CP57" s="19"/>
      <c r="CQ57" s="19"/>
      <c r="CR57" s="19"/>
      <c r="CS57" s="19"/>
      <c r="CT57" s="19"/>
      <c r="CU57" s="19"/>
      <c r="CV57" s="19"/>
      <c r="CW57" s="19"/>
      <c r="CX57" s="19"/>
      <c r="CY57" s="19"/>
      <c r="CZ57" s="19"/>
      <c r="DA57" s="19"/>
      <c r="DB57" s="19"/>
      <c r="DC57" s="19"/>
      <c r="DD57" s="19"/>
      <c r="DE57" s="19"/>
      <c r="DF57" s="19"/>
      <c r="DG57" s="19"/>
      <c r="DH57" s="19"/>
      <c r="DI57" s="19"/>
      <c r="DJ57" s="19"/>
      <c r="DK57" s="19"/>
      <c r="DL57" s="19"/>
      <c r="DM57" s="19"/>
      <c r="DN57" s="44">
        <v>5355000</v>
      </c>
      <c r="DO57" s="22">
        <v>3750000</v>
      </c>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45">
        <f>MEDIAN(DN57,DO57)</f>
        <v>4552500</v>
      </c>
      <c r="ER57" s="45">
        <f>AVERAGE(DN57,DO57)</f>
        <v>4552500</v>
      </c>
      <c r="ES57" s="45">
        <f>+STDEV(DN57,DO57)</f>
        <v>1134906.3838044088</v>
      </c>
      <c r="ET57" s="46">
        <f t="shared" si="4"/>
        <v>0.24929300028652582</v>
      </c>
      <c r="EU57" s="44">
        <f t="shared" si="15"/>
        <v>3825630.2521008407</v>
      </c>
      <c r="EV57" s="44">
        <f t="shared" si="16"/>
        <v>726869.74789915979</v>
      </c>
      <c r="EW57" s="44">
        <f t="shared" si="17"/>
        <v>4552500</v>
      </c>
      <c r="EX57" s="103">
        <f t="shared" si="18"/>
        <v>4552500</v>
      </c>
      <c r="EY57" s="26" t="s">
        <v>219</v>
      </c>
    </row>
    <row r="58" spans="1:155" ht="40.5" x14ac:dyDescent="0.35">
      <c r="A58" s="61">
        <v>48</v>
      </c>
      <c r="B58" s="145" t="s">
        <v>19</v>
      </c>
      <c r="C58" s="64" t="s">
        <v>388</v>
      </c>
      <c r="D58" s="62" t="s">
        <v>160</v>
      </c>
      <c r="E58" s="62">
        <v>1</v>
      </c>
      <c r="F58" s="63"/>
      <c r="G58" s="125"/>
      <c r="H58" s="17"/>
      <c r="I58" s="18"/>
      <c r="J58" s="18"/>
      <c r="K58" s="19"/>
      <c r="L58" s="19"/>
      <c r="M58" s="19"/>
      <c r="N58" s="19"/>
      <c r="O58" s="19"/>
      <c r="P58" s="19"/>
      <c r="Q58" s="19"/>
      <c r="R58" s="19"/>
      <c r="S58" s="19"/>
      <c r="T58" s="19"/>
      <c r="U58" s="19"/>
      <c r="V58" s="19"/>
      <c r="W58" s="19"/>
      <c r="X58" s="19"/>
      <c r="Y58" s="19"/>
      <c r="Z58" s="19"/>
      <c r="AA58" s="19"/>
      <c r="AB58" s="19"/>
      <c r="AC58" s="19"/>
      <c r="AD58" s="19"/>
      <c r="AE58" s="48">
        <v>3800000</v>
      </c>
      <c r="AF58" s="48">
        <v>3993800</v>
      </c>
      <c r="AG58" s="48">
        <v>3800000</v>
      </c>
      <c r="AH58" s="48">
        <v>3993800</v>
      </c>
      <c r="AI58" s="48">
        <v>3900000</v>
      </c>
      <c r="AJ58" s="48">
        <v>4098900</v>
      </c>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c r="BT58" s="19"/>
      <c r="BU58" s="19"/>
      <c r="BV58" s="19"/>
      <c r="BW58" s="19"/>
      <c r="BX58" s="19"/>
      <c r="BY58" s="19"/>
      <c r="BZ58" s="19"/>
      <c r="CA58" s="19"/>
      <c r="CB58" s="19"/>
      <c r="CC58" s="19"/>
      <c r="CD58" s="19"/>
      <c r="CE58" s="19"/>
      <c r="CF58" s="19"/>
      <c r="CG58" s="19"/>
      <c r="CH58" s="19"/>
      <c r="CI58" s="19"/>
      <c r="CJ58" s="19"/>
      <c r="CK58" s="19"/>
      <c r="CL58" s="19"/>
      <c r="CM58" s="19"/>
      <c r="CN58" s="19"/>
      <c r="CO58" s="19"/>
      <c r="CP58" s="19"/>
      <c r="CQ58" s="19"/>
      <c r="CR58" s="19"/>
      <c r="CS58" s="19"/>
      <c r="CT58" s="19"/>
      <c r="CU58" s="19"/>
      <c r="CV58" s="19"/>
      <c r="CW58" s="19"/>
      <c r="CX58" s="19"/>
      <c r="CY58" s="19"/>
      <c r="CZ58" s="19"/>
      <c r="DA58" s="19"/>
      <c r="DB58" s="19"/>
      <c r="DC58" s="19"/>
      <c r="DD58" s="19"/>
      <c r="DE58" s="19"/>
      <c r="DF58" s="19"/>
      <c r="DG58" s="19"/>
      <c r="DH58" s="19"/>
      <c r="DI58" s="19"/>
      <c r="DJ58" s="19"/>
      <c r="DK58" s="19"/>
      <c r="DL58" s="19"/>
      <c r="DM58" s="19"/>
      <c r="DN58" s="44"/>
      <c r="DO58" s="22"/>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45">
        <f>MEDIAN(AF58,AH58,AJ58)</f>
        <v>3993800</v>
      </c>
      <c r="ER58" s="45">
        <f>AVERAGE(AF58,AH58,AJ58)</f>
        <v>4028833.3333333335</v>
      </c>
      <c r="ES58" s="45">
        <f>+STDEV(AF58,AH58,AJ58)</f>
        <v>60679.513291829666</v>
      </c>
      <c r="ET58" s="46">
        <f>ES58/ER58</f>
        <v>1.5061311370164148E-2</v>
      </c>
      <c r="EU58" s="44">
        <f t="shared" si="15"/>
        <v>3385574.7899159663</v>
      </c>
      <c r="EV58" s="44">
        <f t="shared" si="16"/>
        <v>643259.21008403366</v>
      </c>
      <c r="EW58" s="44">
        <f t="shared" si="17"/>
        <v>4028834</v>
      </c>
      <c r="EX58" s="103">
        <f t="shared" si="18"/>
        <v>4028834</v>
      </c>
      <c r="EY58" s="26" t="s">
        <v>109</v>
      </c>
    </row>
    <row r="59" spans="1:155" ht="64.5" customHeight="1" x14ac:dyDescent="0.35">
      <c r="A59" s="61">
        <v>49</v>
      </c>
      <c r="B59" s="141" t="s">
        <v>37</v>
      </c>
      <c r="C59" s="143" t="s">
        <v>414</v>
      </c>
      <c r="D59" s="62" t="s">
        <v>24</v>
      </c>
      <c r="E59" s="62">
        <v>1</v>
      </c>
      <c r="F59" s="67"/>
      <c r="G59" s="54"/>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c r="BY59" s="19"/>
      <c r="BZ59" s="19"/>
      <c r="CA59" s="19"/>
      <c r="CB59" s="19"/>
      <c r="CC59" s="19"/>
      <c r="CD59" s="19"/>
      <c r="CE59" s="19"/>
      <c r="CF59" s="19"/>
      <c r="CG59" s="19"/>
      <c r="CH59" s="19"/>
      <c r="CI59" s="19"/>
      <c r="CJ59" s="19"/>
      <c r="CK59" s="19"/>
      <c r="CL59" s="19"/>
      <c r="CM59" s="19"/>
      <c r="CN59" s="19"/>
      <c r="CO59" s="19"/>
      <c r="CP59" s="19"/>
      <c r="CQ59" s="19"/>
      <c r="CR59" s="19"/>
      <c r="CS59" s="19"/>
      <c r="CT59" s="19"/>
      <c r="CU59" s="19"/>
      <c r="CV59" s="19"/>
      <c r="CW59" s="19"/>
      <c r="CX59" s="19"/>
      <c r="CY59" s="19"/>
      <c r="CZ59" s="19"/>
      <c r="DA59" s="19"/>
      <c r="DB59" s="19"/>
      <c r="DC59" s="19"/>
      <c r="DD59" s="19"/>
      <c r="DE59" s="19"/>
      <c r="DF59" s="19"/>
      <c r="DG59" s="19"/>
      <c r="DH59" s="19"/>
      <c r="DI59" s="19"/>
      <c r="DJ59" s="19"/>
      <c r="DK59" s="19"/>
      <c r="DL59" s="19"/>
      <c r="DM59" s="19"/>
      <c r="DN59" s="44"/>
      <c r="DO59" s="22"/>
      <c r="DP59" s="23"/>
      <c r="DQ59" s="23"/>
      <c r="DR59" s="23"/>
      <c r="DS59" s="23"/>
      <c r="DT59" s="23"/>
      <c r="DU59" s="23"/>
      <c r="DV59" s="23"/>
      <c r="DW59" s="23"/>
      <c r="DX59" s="23"/>
      <c r="DY59" s="23"/>
      <c r="DZ59" s="23"/>
      <c r="EA59" s="23"/>
      <c r="EB59" s="23"/>
      <c r="EC59" s="23"/>
      <c r="ED59" s="23"/>
      <c r="EE59" s="139">
        <v>350000</v>
      </c>
      <c r="EF59" s="23">
        <v>310000</v>
      </c>
      <c r="EG59" s="23"/>
      <c r="EH59" s="23"/>
      <c r="EI59" s="23"/>
      <c r="EJ59" s="23"/>
      <c r="EK59" s="23"/>
      <c r="EL59" s="23"/>
      <c r="EM59" s="23"/>
      <c r="EN59" s="23"/>
      <c r="EO59" s="23"/>
      <c r="EP59" s="23"/>
      <c r="EQ59" s="45">
        <f>MEDIAN(EE59,EF59)</f>
        <v>330000</v>
      </c>
      <c r="ER59" s="45">
        <f>AVERAGE(EE59,EF59)</f>
        <v>330000</v>
      </c>
      <c r="ES59" s="45">
        <f>+STDEV(EE59,EF59)</f>
        <v>28284.2712474619</v>
      </c>
      <c r="ET59" s="46">
        <f t="shared" ref="ET59:ET60" si="23">ES59/ER59</f>
        <v>8.5709912871096666E-2</v>
      </c>
      <c r="EU59" s="44">
        <f t="shared" si="15"/>
        <v>277310.92436974793</v>
      </c>
      <c r="EV59" s="44">
        <f t="shared" si="16"/>
        <v>52689.075630252104</v>
      </c>
      <c r="EW59" s="44">
        <f t="shared" si="17"/>
        <v>330000</v>
      </c>
      <c r="EX59" s="103">
        <f t="shared" si="18"/>
        <v>330000</v>
      </c>
      <c r="EY59" s="26" t="s">
        <v>109</v>
      </c>
    </row>
    <row r="60" spans="1:155" ht="265.5" customHeight="1" x14ac:dyDescent="0.35">
      <c r="A60" s="61">
        <v>50</v>
      </c>
      <c r="B60" s="145" t="s">
        <v>21</v>
      </c>
      <c r="C60" s="217" t="s">
        <v>409</v>
      </c>
      <c r="D60" s="68" t="s">
        <v>24</v>
      </c>
      <c r="E60" s="62">
        <v>1</v>
      </c>
      <c r="F60" s="69"/>
      <c r="G60" s="125"/>
      <c r="H60" s="17"/>
      <c r="I60" s="18"/>
      <c r="J60" s="18"/>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c r="BT60" s="19"/>
      <c r="BU60" s="19"/>
      <c r="BV60" s="19"/>
      <c r="BW60" s="19"/>
      <c r="BX60" s="19"/>
      <c r="BY60" s="19"/>
      <c r="BZ60" s="19"/>
      <c r="CA60" s="19"/>
      <c r="CB60" s="19"/>
      <c r="CC60" s="19"/>
      <c r="CD60" s="19"/>
      <c r="CE60" s="19"/>
      <c r="CF60" s="19"/>
      <c r="CG60" s="19"/>
      <c r="CH60" s="19"/>
      <c r="CI60" s="19"/>
      <c r="CJ60" s="19"/>
      <c r="CK60" s="19"/>
      <c r="CL60" s="19"/>
      <c r="CM60" s="19"/>
      <c r="CN60" s="19"/>
      <c r="CO60" s="19"/>
      <c r="CP60" s="19"/>
      <c r="CQ60" s="19"/>
      <c r="CR60" s="19"/>
      <c r="CS60" s="19"/>
      <c r="CT60" s="19"/>
      <c r="CU60" s="19"/>
      <c r="CV60" s="19"/>
      <c r="CW60" s="19"/>
      <c r="CX60" s="19"/>
      <c r="CY60" s="19"/>
      <c r="CZ60" s="19"/>
      <c r="DA60" s="19"/>
      <c r="DB60" s="19"/>
      <c r="DC60" s="19"/>
      <c r="DD60" s="19"/>
      <c r="DE60" s="19"/>
      <c r="DF60" s="19"/>
      <c r="DG60" s="19"/>
      <c r="DH60" s="19"/>
      <c r="DI60" s="19"/>
      <c r="DJ60" s="19"/>
      <c r="DK60" s="19"/>
      <c r="DL60" s="19"/>
      <c r="DM60" s="19"/>
      <c r="DN60" s="44">
        <v>1785000</v>
      </c>
      <c r="DO60" s="22"/>
      <c r="DP60" s="23">
        <v>1904000</v>
      </c>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45">
        <f>MEDIAN(DN60,DP60)</f>
        <v>1844500</v>
      </c>
      <c r="ER60" s="45">
        <f>AVERAGE(DN60,DP60)</f>
        <v>1844500</v>
      </c>
      <c r="ES60" s="45">
        <f>+STDEV(DN60,DP60)</f>
        <v>84145.706961199161</v>
      </c>
      <c r="ET60" s="46">
        <f t="shared" si="23"/>
        <v>4.5619792334615973E-2</v>
      </c>
      <c r="EU60" s="44">
        <v>1844500</v>
      </c>
      <c r="EV60" s="47">
        <v>0</v>
      </c>
      <c r="EW60" s="44">
        <v>1844500</v>
      </c>
      <c r="EX60" s="103">
        <f t="shared" si="18"/>
        <v>1844500</v>
      </c>
      <c r="EY60" s="26" t="s">
        <v>109</v>
      </c>
    </row>
    <row r="61" spans="1:155" ht="216" x14ac:dyDescent="0.35">
      <c r="A61" s="61">
        <v>51</v>
      </c>
      <c r="B61" s="64" t="s">
        <v>118</v>
      </c>
      <c r="C61" s="64" t="s">
        <v>119</v>
      </c>
      <c r="D61" s="62" t="s">
        <v>17</v>
      </c>
      <c r="E61" s="62">
        <v>165</v>
      </c>
      <c r="F61" s="63"/>
      <c r="G61" s="125"/>
      <c r="H61" s="17"/>
      <c r="I61" s="18"/>
      <c r="J61" s="18"/>
      <c r="K61" s="19"/>
      <c r="L61" s="19"/>
      <c r="M61" s="19"/>
      <c r="N61" s="19"/>
      <c r="O61" s="19"/>
      <c r="P61" s="19"/>
      <c r="Q61" s="48">
        <v>38000</v>
      </c>
      <c r="R61" s="48">
        <f>+(Q61*5.1%)+Q61</f>
        <v>39938</v>
      </c>
      <c r="S61" s="48">
        <v>37000</v>
      </c>
      <c r="T61" s="48">
        <f>+(S61*5.1%)+S61</f>
        <v>38887</v>
      </c>
      <c r="U61" s="48">
        <v>29000</v>
      </c>
      <c r="V61" s="48">
        <v>30479</v>
      </c>
      <c r="W61" s="48">
        <v>37000</v>
      </c>
      <c r="X61" s="48">
        <v>38887</v>
      </c>
      <c r="Y61" s="48">
        <v>27000</v>
      </c>
      <c r="Z61" s="48">
        <v>28404</v>
      </c>
      <c r="AA61" s="48">
        <v>27500</v>
      </c>
      <c r="AB61" s="51">
        <v>28903</v>
      </c>
      <c r="AC61" s="48">
        <v>35000</v>
      </c>
      <c r="AD61" s="48">
        <v>36785</v>
      </c>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c r="BO61" s="48"/>
      <c r="BP61" s="48"/>
      <c r="BQ61" s="48"/>
      <c r="BR61" s="48"/>
      <c r="BS61" s="48"/>
      <c r="BT61" s="48"/>
      <c r="BU61" s="48"/>
      <c r="BV61" s="48"/>
      <c r="BW61" s="48"/>
      <c r="BX61" s="48"/>
      <c r="BY61" s="48"/>
      <c r="BZ61" s="48"/>
      <c r="CA61" s="48"/>
      <c r="CB61" s="48"/>
      <c r="CC61" s="48"/>
      <c r="CD61" s="48"/>
      <c r="CE61" s="48"/>
      <c r="CF61" s="48"/>
      <c r="CG61" s="48"/>
      <c r="CH61" s="48"/>
      <c r="CI61" s="48"/>
      <c r="CJ61" s="48"/>
      <c r="CK61" s="48"/>
      <c r="CL61" s="48"/>
      <c r="CM61" s="48"/>
      <c r="CN61" s="48"/>
      <c r="CO61" s="48"/>
      <c r="CP61" s="48"/>
      <c r="CQ61" s="48"/>
      <c r="CR61" s="48"/>
      <c r="CS61" s="48"/>
      <c r="CT61" s="48"/>
      <c r="CU61" s="48"/>
      <c r="CV61" s="48"/>
      <c r="CW61" s="48"/>
      <c r="CX61" s="48"/>
      <c r="CY61" s="48"/>
      <c r="CZ61" s="48"/>
      <c r="DA61" s="48"/>
      <c r="DB61" s="48"/>
      <c r="DC61" s="48"/>
      <c r="DD61" s="48"/>
      <c r="DE61" s="48"/>
      <c r="DF61" s="48"/>
      <c r="DG61" s="48"/>
      <c r="DH61" s="48"/>
      <c r="DI61" s="48"/>
      <c r="DJ61" s="48"/>
      <c r="DK61" s="48"/>
      <c r="DL61" s="48"/>
      <c r="DM61" s="48"/>
      <c r="DN61" s="44"/>
      <c r="DO61" s="22"/>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45">
        <f>MEDIAN(V61,X61,Z61,AB61,AD61,R61,T61)</f>
        <v>36785</v>
      </c>
      <c r="ER61" s="45">
        <f>AVERAGE(V61,X61,Z61,AB61,AD61,R61,T61)</f>
        <v>34611.857142857145</v>
      </c>
      <c r="ES61" s="45">
        <f>+STDEV(V61,X61,Z61,AB61,AD61,R61,T61)</f>
        <v>5129.2151585653992</v>
      </c>
      <c r="ET61" s="46">
        <f t="shared" si="4"/>
        <v>0.14819242831712415</v>
      </c>
      <c r="EU61" s="44">
        <f>EW61/1.08</f>
        <v>32048.148148148146</v>
      </c>
      <c r="EV61" s="44">
        <f>EU61*8%</f>
        <v>2563.8518518518517</v>
      </c>
      <c r="EW61" s="44">
        <f t="shared" si="17"/>
        <v>34612</v>
      </c>
      <c r="EX61" s="103">
        <f t="shared" si="18"/>
        <v>5710980</v>
      </c>
      <c r="EY61" s="26" t="s">
        <v>109</v>
      </c>
    </row>
    <row r="62" spans="1:155" ht="168.75" customHeight="1" x14ac:dyDescent="0.35">
      <c r="A62" s="61">
        <v>52</v>
      </c>
      <c r="B62" s="141" t="s">
        <v>420</v>
      </c>
      <c r="C62" s="143" t="s">
        <v>429</v>
      </c>
      <c r="D62" s="62" t="s">
        <v>38</v>
      </c>
      <c r="E62" s="62">
        <v>1</v>
      </c>
      <c r="F62" s="63"/>
      <c r="G62" s="125"/>
      <c r="H62" s="17"/>
      <c r="I62" s="18"/>
      <c r="J62" s="18"/>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19"/>
      <c r="BH62" s="19"/>
      <c r="BI62" s="19"/>
      <c r="BJ62" s="19"/>
      <c r="BK62" s="19"/>
      <c r="BL62" s="19"/>
      <c r="BM62" s="19"/>
      <c r="BN62" s="19"/>
      <c r="BO62" s="19"/>
      <c r="BP62" s="19"/>
      <c r="BQ62" s="19"/>
      <c r="BR62" s="19"/>
      <c r="BS62" s="19"/>
      <c r="BT62" s="19"/>
      <c r="BU62" s="19"/>
      <c r="BV62" s="19"/>
      <c r="BW62" s="19"/>
      <c r="BX62" s="19"/>
      <c r="BY62" s="19"/>
      <c r="BZ62" s="19"/>
      <c r="CA62" s="19"/>
      <c r="CB62" s="19"/>
      <c r="CC62" s="19"/>
      <c r="CD62" s="19"/>
      <c r="CE62" s="19"/>
      <c r="CF62" s="19"/>
      <c r="CG62" s="19"/>
      <c r="CH62" s="19"/>
      <c r="CI62" s="19"/>
      <c r="CJ62" s="19"/>
      <c r="CK62" s="19"/>
      <c r="CL62" s="19"/>
      <c r="CM62" s="19"/>
      <c r="CN62" s="19"/>
      <c r="CO62" s="19"/>
      <c r="CP62" s="19"/>
      <c r="CQ62" s="19"/>
      <c r="CR62" s="19"/>
      <c r="CS62" s="19"/>
      <c r="CT62" s="19"/>
      <c r="CU62" s="19"/>
      <c r="CV62" s="19"/>
      <c r="CW62" s="19"/>
      <c r="CX62" s="19"/>
      <c r="CY62" s="19"/>
      <c r="CZ62" s="19"/>
      <c r="DA62" s="19"/>
      <c r="DB62" s="19"/>
      <c r="DC62" s="19"/>
      <c r="DD62" s="19"/>
      <c r="DE62" s="19"/>
      <c r="DF62" s="19"/>
      <c r="DG62" s="19"/>
      <c r="DH62" s="19"/>
      <c r="DI62" s="19"/>
      <c r="DJ62" s="19"/>
      <c r="DK62" s="19"/>
      <c r="DL62" s="19"/>
      <c r="DM62" s="19"/>
      <c r="DN62" s="44">
        <v>595000</v>
      </c>
      <c r="DO62" s="22"/>
      <c r="DP62" s="23">
        <v>511700</v>
      </c>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45">
        <f>MEDIAN(DN62,DP62)</f>
        <v>553350</v>
      </c>
      <c r="ER62" s="45">
        <f>AVERAGE(DN62,DP62)</f>
        <v>553350</v>
      </c>
      <c r="ES62" s="45">
        <f>+STDEV(DN62,DP62)</f>
        <v>58901.994872839408</v>
      </c>
      <c r="ET62" s="46">
        <f t="shared" si="4"/>
        <v>0.10644618211410392</v>
      </c>
      <c r="EU62" s="44">
        <f t="shared" si="15"/>
        <v>465000</v>
      </c>
      <c r="EV62" s="44">
        <f t="shared" si="16"/>
        <v>88350</v>
      </c>
      <c r="EW62" s="44">
        <f t="shared" si="17"/>
        <v>553350</v>
      </c>
      <c r="EX62" s="103">
        <f t="shared" si="18"/>
        <v>553350</v>
      </c>
      <c r="EY62" s="26" t="s">
        <v>109</v>
      </c>
    </row>
    <row r="63" spans="1:155" ht="27" x14ac:dyDescent="0.35">
      <c r="A63" s="61">
        <v>53</v>
      </c>
      <c r="B63" s="145" t="s">
        <v>161</v>
      </c>
      <c r="C63" s="64" t="s">
        <v>162</v>
      </c>
      <c r="D63" s="62" t="s">
        <v>160</v>
      </c>
      <c r="E63" s="62">
        <v>4</v>
      </c>
      <c r="F63" s="63"/>
      <c r="G63" s="125"/>
      <c r="H63" s="17"/>
      <c r="I63" s="18"/>
      <c r="J63" s="18"/>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48">
        <v>119000</v>
      </c>
      <c r="BM63" s="48">
        <v>125069</v>
      </c>
      <c r="BN63" s="48">
        <v>135000</v>
      </c>
      <c r="BO63" s="48">
        <v>141885</v>
      </c>
      <c r="BP63" s="49">
        <v>120000</v>
      </c>
      <c r="BQ63" s="49"/>
      <c r="BR63" s="49"/>
      <c r="BS63" s="49"/>
      <c r="BT63" s="49"/>
      <c r="BU63" s="49"/>
      <c r="BV63" s="49"/>
      <c r="BW63" s="49"/>
      <c r="BX63" s="49"/>
      <c r="BY63" s="49"/>
      <c r="BZ63" s="49"/>
      <c r="CA63" s="49"/>
      <c r="CB63" s="49"/>
      <c r="CC63" s="49"/>
      <c r="CD63" s="49"/>
      <c r="CE63" s="49"/>
      <c r="CF63" s="49"/>
      <c r="CG63" s="49"/>
      <c r="CH63" s="49"/>
      <c r="CI63" s="49"/>
      <c r="CJ63" s="49"/>
      <c r="CK63" s="49"/>
      <c r="CL63" s="49"/>
      <c r="CM63" s="49"/>
      <c r="CN63" s="49"/>
      <c r="CO63" s="49"/>
      <c r="CP63" s="49"/>
      <c r="CQ63" s="49"/>
      <c r="CR63" s="49"/>
      <c r="CS63" s="49"/>
      <c r="CT63" s="49"/>
      <c r="CU63" s="49"/>
      <c r="CV63" s="49"/>
      <c r="CW63" s="49"/>
      <c r="CX63" s="49"/>
      <c r="CY63" s="49"/>
      <c r="CZ63" s="49"/>
      <c r="DA63" s="49"/>
      <c r="DB63" s="49"/>
      <c r="DC63" s="49"/>
      <c r="DD63" s="49"/>
      <c r="DE63" s="49"/>
      <c r="DF63" s="49"/>
      <c r="DG63" s="49"/>
      <c r="DH63" s="49"/>
      <c r="DI63" s="49"/>
      <c r="DJ63" s="49"/>
      <c r="DK63" s="49"/>
      <c r="DL63" s="49"/>
      <c r="DM63" s="49"/>
      <c r="DN63" s="44"/>
      <c r="DO63" s="22"/>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45">
        <f>MEDIAN(BM63,BO63,BP63)</f>
        <v>125069</v>
      </c>
      <c r="ER63" s="45">
        <f>AVERAGE(BM63,BO63,BP63)</f>
        <v>128984.66666666667</v>
      </c>
      <c r="ES63" s="45">
        <f>+STDEV(BM63,BO63,BP63)</f>
        <v>11455.899804613051</v>
      </c>
      <c r="ET63" s="46">
        <f t="shared" si="4"/>
        <v>8.881598178036447E-2</v>
      </c>
      <c r="EU63" s="44">
        <f t="shared" si="15"/>
        <v>108390.75630252101</v>
      </c>
      <c r="EV63" s="44">
        <f t="shared" si="16"/>
        <v>20594.243697478993</v>
      </c>
      <c r="EW63" s="44">
        <f t="shared" si="17"/>
        <v>128985</v>
      </c>
      <c r="EX63" s="103">
        <f t="shared" si="18"/>
        <v>515940</v>
      </c>
      <c r="EY63" s="26" t="s">
        <v>109</v>
      </c>
    </row>
    <row r="64" spans="1:155" ht="46.5" customHeight="1" x14ac:dyDescent="0.35">
      <c r="A64" s="61">
        <v>54</v>
      </c>
      <c r="B64" s="145" t="s">
        <v>40</v>
      </c>
      <c r="C64" s="64" t="s">
        <v>222</v>
      </c>
      <c r="D64" s="62" t="s">
        <v>160</v>
      </c>
      <c r="E64" s="62">
        <v>1</v>
      </c>
      <c r="F64" s="63"/>
      <c r="G64" s="125"/>
      <c r="H64" s="17"/>
      <c r="I64" s="18"/>
      <c r="J64" s="18"/>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c r="BD64" s="19"/>
      <c r="BE64" s="19"/>
      <c r="BF64" s="19"/>
      <c r="BG64" s="19"/>
      <c r="BH64" s="19"/>
      <c r="BI64" s="19"/>
      <c r="BJ64" s="19"/>
      <c r="BK64" s="19"/>
      <c r="BL64" s="19"/>
      <c r="BM64" s="19"/>
      <c r="BN64" s="19"/>
      <c r="BO64" s="19"/>
      <c r="BP64" s="19"/>
      <c r="BQ64" s="19"/>
      <c r="BR64" s="19"/>
      <c r="BS64" s="19"/>
      <c r="BT64" s="19"/>
      <c r="BU64" s="19"/>
      <c r="BV64" s="19"/>
      <c r="BW64" s="19"/>
      <c r="BX64" s="19"/>
      <c r="BY64" s="19"/>
      <c r="BZ64" s="19"/>
      <c r="CA64" s="19"/>
      <c r="CB64" s="19"/>
      <c r="CC64" s="19"/>
      <c r="CD64" s="19"/>
      <c r="CE64" s="19"/>
      <c r="CF64" s="19"/>
      <c r="CG64" s="19"/>
      <c r="CH64" s="19"/>
      <c r="CI64" s="19"/>
      <c r="CJ64" s="19"/>
      <c r="CK64" s="19"/>
      <c r="CL64" s="19"/>
      <c r="CM64" s="19"/>
      <c r="CN64" s="19"/>
      <c r="CO64" s="19"/>
      <c r="CP64" s="19"/>
      <c r="CQ64" s="19"/>
      <c r="CR64" s="19"/>
      <c r="CS64" s="19"/>
      <c r="CT64" s="19"/>
      <c r="CU64" s="19"/>
      <c r="CV64" s="19"/>
      <c r="CW64" s="19"/>
      <c r="CX64" s="19"/>
      <c r="CY64" s="19"/>
      <c r="CZ64" s="19"/>
      <c r="DA64" s="19"/>
      <c r="DB64" s="19"/>
      <c r="DC64" s="19"/>
      <c r="DD64" s="19"/>
      <c r="DE64" s="19"/>
      <c r="DF64" s="19"/>
      <c r="DG64" s="19"/>
      <c r="DH64" s="19"/>
      <c r="DI64" s="19"/>
      <c r="DJ64" s="19"/>
      <c r="DK64" s="19"/>
      <c r="DL64" s="19"/>
      <c r="DM64" s="19"/>
      <c r="DN64" s="44">
        <v>952000</v>
      </c>
      <c r="DO64" s="22"/>
      <c r="DP64" s="23">
        <v>844900</v>
      </c>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45">
        <f>MEDIAN(AP64,DN64,DP64)</f>
        <v>898450</v>
      </c>
      <c r="ER64" s="45">
        <f>AVERAGE(AP64,DN64,DP64)</f>
        <v>898450</v>
      </c>
      <c r="ES64" s="45">
        <f>+STDEV(AP64,DN64,DP64)</f>
        <v>75731.136265079243</v>
      </c>
      <c r="ET64" s="46">
        <f t="shared" si="4"/>
        <v>8.4290874578528852E-2</v>
      </c>
      <c r="EU64" s="44">
        <v>898450</v>
      </c>
      <c r="EV64" s="47">
        <v>0</v>
      </c>
      <c r="EW64" s="44">
        <v>898450</v>
      </c>
      <c r="EX64" s="103">
        <f>+EW64*E64</f>
        <v>898450</v>
      </c>
      <c r="EY64" s="26" t="s">
        <v>109</v>
      </c>
    </row>
    <row r="65" spans="1:156" ht="65.25" customHeight="1" x14ac:dyDescent="0.35">
      <c r="A65" s="14">
        <v>55</v>
      </c>
      <c r="B65" s="221" t="s">
        <v>53</v>
      </c>
      <c r="C65" s="143" t="s">
        <v>15</v>
      </c>
      <c r="D65" s="113" t="s">
        <v>17</v>
      </c>
      <c r="E65" s="50">
        <v>165</v>
      </c>
      <c r="F65" s="43"/>
      <c r="G65" s="125"/>
      <c r="H65" s="17"/>
      <c r="I65" s="18"/>
      <c r="J65" s="18"/>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c r="BA65" s="19"/>
      <c r="BB65" s="19"/>
      <c r="BC65" s="19"/>
      <c r="BD65" s="19"/>
      <c r="BE65" s="19"/>
      <c r="BF65" s="19"/>
      <c r="BG65" s="19"/>
      <c r="BH65" s="19"/>
      <c r="BI65" s="19"/>
      <c r="BJ65" s="19"/>
      <c r="BK65" s="19"/>
      <c r="BL65" s="19"/>
      <c r="BM65" s="19"/>
      <c r="BN65" s="19"/>
      <c r="BO65" s="19"/>
      <c r="BP65" s="19"/>
      <c r="BQ65" s="19"/>
      <c r="BR65" s="19"/>
      <c r="BS65" s="19"/>
      <c r="BT65" s="19"/>
      <c r="BU65" s="19"/>
      <c r="BV65" s="19"/>
      <c r="BW65" s="19"/>
      <c r="BX65" s="19"/>
      <c r="BY65" s="19"/>
      <c r="BZ65" s="19"/>
      <c r="CA65" s="19"/>
      <c r="CB65" s="19"/>
      <c r="CC65" s="19"/>
      <c r="CD65" s="19"/>
      <c r="CE65" s="19"/>
      <c r="CF65" s="19"/>
      <c r="CG65" s="19"/>
      <c r="CH65" s="19"/>
      <c r="CI65" s="19"/>
      <c r="CJ65" s="19"/>
      <c r="CK65" s="19"/>
      <c r="CL65" s="19"/>
      <c r="CM65" s="19"/>
      <c r="CN65" s="19"/>
      <c r="CO65" s="19"/>
      <c r="CP65" s="19"/>
      <c r="CQ65" s="19"/>
      <c r="CR65" s="19"/>
      <c r="CS65" s="19"/>
      <c r="CT65" s="19"/>
      <c r="CU65" s="19"/>
      <c r="CV65" s="19"/>
      <c r="CW65" s="19"/>
      <c r="CX65" s="19"/>
      <c r="CY65" s="19"/>
      <c r="CZ65" s="19"/>
      <c r="DA65" s="19"/>
      <c r="DB65" s="19"/>
      <c r="DC65" s="19"/>
      <c r="DD65" s="19"/>
      <c r="DE65" s="19"/>
      <c r="DF65" s="19"/>
      <c r="DG65" s="19"/>
      <c r="DH65" s="19"/>
      <c r="DI65" s="19"/>
      <c r="DJ65" s="19"/>
      <c r="DK65" s="19"/>
      <c r="DL65" s="19"/>
      <c r="DM65" s="19"/>
      <c r="DN65" s="44">
        <v>9520</v>
      </c>
      <c r="DO65" s="22"/>
      <c r="DP65" s="44">
        <v>11900</v>
      </c>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5">
        <f>MEDIAN(DN65,DP65)</f>
        <v>10710</v>
      </c>
      <c r="ER65" s="45">
        <f>AVERAGE(DN65,DP65)</f>
        <v>10710</v>
      </c>
      <c r="ES65" s="45">
        <f>+STDEV(DN65,DP65)</f>
        <v>1682.9141392239831</v>
      </c>
      <c r="ET65" s="46">
        <f t="shared" ref="ET65" si="24">ES65/ER65</f>
        <v>0.15713484026367722</v>
      </c>
      <c r="EU65" s="44">
        <f>EW65/1.19</f>
        <v>9000</v>
      </c>
      <c r="EV65" s="44">
        <f>EU65*19%</f>
        <v>1710</v>
      </c>
      <c r="EW65" s="44">
        <f>+ROUNDUP(IF(ET65&lt;15%,ER65,EQ65),0)</f>
        <v>10710</v>
      </c>
      <c r="EX65" s="103">
        <f t="shared" si="18"/>
        <v>1767150</v>
      </c>
      <c r="EY65" s="26" t="s">
        <v>219</v>
      </c>
    </row>
    <row r="66" spans="1:156" ht="94.5" x14ac:dyDescent="0.35">
      <c r="A66" s="61">
        <v>56</v>
      </c>
      <c r="B66" s="145" t="s">
        <v>167</v>
      </c>
      <c r="C66" s="64" t="s">
        <v>390</v>
      </c>
      <c r="D66" s="62" t="s">
        <v>24</v>
      </c>
      <c r="E66" s="62">
        <v>1</v>
      </c>
      <c r="F66" s="63"/>
      <c r="G66" s="125"/>
      <c r="H66" s="17"/>
      <c r="I66" s="18"/>
      <c r="J66" s="18"/>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48">
        <v>2000000</v>
      </c>
      <c r="AL66" s="48">
        <v>2102000</v>
      </c>
      <c r="AM66" s="48">
        <v>2460000</v>
      </c>
      <c r="AN66" s="48">
        <v>2350000</v>
      </c>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19"/>
      <c r="CN66" s="19"/>
      <c r="CO66" s="19"/>
      <c r="CP66" s="19"/>
      <c r="CQ66" s="19"/>
      <c r="CR66" s="19"/>
      <c r="CS66" s="19"/>
      <c r="CT66" s="19"/>
      <c r="CU66" s="19"/>
      <c r="CV66" s="19"/>
      <c r="CW66" s="19"/>
      <c r="CX66" s="19"/>
      <c r="CY66" s="19"/>
      <c r="CZ66" s="19"/>
      <c r="DA66" s="19"/>
      <c r="DB66" s="19"/>
      <c r="DC66" s="19"/>
      <c r="DD66" s="19"/>
      <c r="DE66" s="19"/>
      <c r="DF66" s="19"/>
      <c r="DG66" s="19"/>
      <c r="DH66" s="19"/>
      <c r="DI66" s="19"/>
      <c r="DJ66" s="19"/>
      <c r="DK66" s="19"/>
      <c r="DL66" s="19"/>
      <c r="DM66" s="19"/>
      <c r="DN66" s="44"/>
      <c r="DO66" s="22"/>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45">
        <f>MEDIAN(AL66,AM66,AN66)</f>
        <v>2350000</v>
      </c>
      <c r="ER66" s="45">
        <f>AVERAGE(AL66,AM66,AN66)</f>
        <v>2304000</v>
      </c>
      <c r="ES66" s="45">
        <f>+STDEV(AL66,AM66,AN66)</f>
        <v>183379.38815472147</v>
      </c>
      <c r="ET66" s="46">
        <f t="shared" si="4"/>
        <v>7.9591748331042309E-2</v>
      </c>
      <c r="EU66" s="44">
        <f>EW66/1.19</f>
        <v>1936134.4537815128</v>
      </c>
      <c r="EV66" s="44">
        <f>EU66*19%</f>
        <v>367865.54621848743</v>
      </c>
      <c r="EW66" s="44">
        <f>+ROUNDUP(IF(ET66&lt;15%,ER66,EQ66),0)</f>
        <v>2304000</v>
      </c>
      <c r="EX66" s="103">
        <f t="shared" si="18"/>
        <v>2304000</v>
      </c>
      <c r="EY66" s="26" t="s">
        <v>109</v>
      </c>
    </row>
    <row r="67" spans="1:156" ht="27" x14ac:dyDescent="0.35">
      <c r="A67" s="61">
        <v>57</v>
      </c>
      <c r="B67" s="224" t="s">
        <v>368</v>
      </c>
      <c r="C67" s="204" t="s">
        <v>369</v>
      </c>
      <c r="D67" s="62" t="s">
        <v>396</v>
      </c>
      <c r="E67" s="41">
        <v>6</v>
      </c>
      <c r="F67" s="63"/>
      <c r="G67" s="125"/>
      <c r="H67" s="205">
        <v>600000</v>
      </c>
      <c r="I67" s="205">
        <v>630600</v>
      </c>
      <c r="J67" s="206">
        <v>860000</v>
      </c>
      <c r="K67" s="205">
        <v>903860</v>
      </c>
      <c r="L67" s="205">
        <v>847295</v>
      </c>
      <c r="M67" s="205">
        <v>890507</v>
      </c>
      <c r="N67" s="205">
        <v>970000</v>
      </c>
      <c r="O67" s="205">
        <v>1019470</v>
      </c>
      <c r="P67" s="4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9"/>
      <c r="BT67" s="19"/>
      <c r="BU67" s="19"/>
      <c r="BV67" s="19"/>
      <c r="BW67" s="19"/>
      <c r="BX67" s="19"/>
      <c r="BY67" s="19"/>
      <c r="BZ67" s="19"/>
      <c r="CA67" s="19"/>
      <c r="CB67" s="19"/>
      <c r="CC67" s="19"/>
      <c r="CD67" s="19"/>
      <c r="CE67" s="19"/>
      <c r="CF67" s="19"/>
      <c r="CG67" s="19"/>
      <c r="CH67" s="19"/>
      <c r="CI67" s="19"/>
      <c r="CJ67" s="19"/>
      <c r="CK67" s="19"/>
      <c r="CL67" s="19"/>
      <c r="CM67" s="19"/>
      <c r="CN67" s="19"/>
      <c r="CO67" s="19"/>
      <c r="CP67" s="19"/>
      <c r="CQ67" s="19"/>
      <c r="CR67" s="19"/>
      <c r="CS67" s="19"/>
      <c r="CT67" s="19"/>
      <c r="CU67" s="19"/>
      <c r="CV67" s="19"/>
      <c r="CW67" s="19"/>
      <c r="CX67" s="19"/>
      <c r="CY67" s="19"/>
      <c r="CZ67" s="19"/>
      <c r="DA67" s="19"/>
      <c r="DB67" s="19"/>
      <c r="DC67" s="19"/>
      <c r="DD67" s="19"/>
      <c r="DE67" s="19"/>
      <c r="DF67" s="19"/>
      <c r="DG67" s="19"/>
      <c r="DH67" s="19"/>
      <c r="DI67" s="19"/>
      <c r="DJ67" s="19"/>
      <c r="DK67" s="19"/>
      <c r="DL67" s="19"/>
      <c r="DM67" s="19"/>
      <c r="DN67" s="44"/>
      <c r="DO67" s="22"/>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45">
        <f>MEDIAN(I67,K67,M67,O67)</f>
        <v>897183.5</v>
      </c>
      <c r="ER67" s="45">
        <f>AVERAGE(I67,K67,M67,O67)</f>
        <v>861109.25</v>
      </c>
      <c r="ES67" s="45">
        <f>+STDEV(I67,K67,M67,O67)</f>
        <v>164219.86867890458</v>
      </c>
      <c r="ET67" s="46">
        <v>0.22615036433836375</v>
      </c>
      <c r="EU67" s="44">
        <v>897184</v>
      </c>
      <c r="EV67" s="47">
        <v>0</v>
      </c>
      <c r="EW67" s="44">
        <v>897184</v>
      </c>
      <c r="EX67" s="103">
        <f t="shared" si="18"/>
        <v>5383104</v>
      </c>
      <c r="EY67" s="26" t="s">
        <v>220</v>
      </c>
    </row>
    <row r="68" spans="1:156" ht="108" x14ac:dyDescent="0.35">
      <c r="A68" s="61">
        <v>58</v>
      </c>
      <c r="B68" s="145" t="s">
        <v>421</v>
      </c>
      <c r="C68" s="143" t="s">
        <v>376</v>
      </c>
      <c r="D68" s="62" t="s">
        <v>24</v>
      </c>
      <c r="E68" s="62">
        <v>10</v>
      </c>
      <c r="F68" s="63"/>
      <c r="G68" s="125"/>
      <c r="H68" s="17"/>
      <c r="I68" s="18"/>
      <c r="J68" s="18"/>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19"/>
      <c r="BD68" s="19"/>
      <c r="BE68" s="19"/>
      <c r="BF68" s="19"/>
      <c r="BG68" s="19"/>
      <c r="BH68" s="19"/>
      <c r="BI68" s="19"/>
      <c r="BJ68" s="19"/>
      <c r="BK68" s="19"/>
      <c r="BL68" s="19"/>
      <c r="BM68" s="19"/>
      <c r="BN68" s="19"/>
      <c r="BO68" s="19"/>
      <c r="BP68" s="19"/>
      <c r="BQ68" s="19"/>
      <c r="BR68" s="19"/>
      <c r="BS68" s="19"/>
      <c r="BT68" s="19"/>
      <c r="BU68" s="19"/>
      <c r="BV68" s="19"/>
      <c r="BW68" s="19"/>
      <c r="BX68" s="19"/>
      <c r="BY68" s="19"/>
      <c r="BZ68" s="19"/>
      <c r="CA68" s="19"/>
      <c r="CB68" s="19"/>
      <c r="CC68" s="19"/>
      <c r="CD68" s="19"/>
      <c r="CE68" s="19"/>
      <c r="CF68" s="19"/>
      <c r="CG68" s="19"/>
      <c r="CH68" s="19"/>
      <c r="CI68" s="19"/>
      <c r="CJ68" s="19"/>
      <c r="CK68" s="19"/>
      <c r="CL68" s="19"/>
      <c r="CM68" s="19"/>
      <c r="CN68" s="19"/>
      <c r="CO68" s="19"/>
      <c r="CP68" s="19"/>
      <c r="CQ68" s="19"/>
      <c r="CR68" s="19"/>
      <c r="CS68" s="19"/>
      <c r="CT68" s="19"/>
      <c r="CU68" s="19"/>
      <c r="CV68" s="19"/>
      <c r="CW68" s="19"/>
      <c r="CX68" s="19"/>
      <c r="CY68" s="19"/>
      <c r="CZ68" s="19"/>
      <c r="DA68" s="19"/>
      <c r="DB68" s="19"/>
      <c r="DC68" s="19"/>
      <c r="DD68" s="19"/>
      <c r="DE68" s="19"/>
      <c r="DF68" s="19"/>
      <c r="DG68" s="19"/>
      <c r="DH68" s="19"/>
      <c r="DI68" s="19"/>
      <c r="DJ68" s="19"/>
      <c r="DK68" s="19"/>
      <c r="DL68" s="19"/>
      <c r="DM68" s="19"/>
      <c r="DN68" s="44"/>
      <c r="DO68" s="22"/>
      <c r="DP68" s="23"/>
      <c r="DQ68" s="23"/>
      <c r="DR68" s="23"/>
      <c r="DS68" s="23"/>
      <c r="DT68" s="23"/>
      <c r="DU68" s="23"/>
      <c r="DV68" s="23"/>
      <c r="DW68" s="23"/>
      <c r="DX68" s="23"/>
      <c r="DY68" s="23"/>
      <c r="DZ68" s="23"/>
      <c r="EA68" s="23"/>
      <c r="EB68" s="23"/>
      <c r="EC68" s="23"/>
      <c r="ED68" s="23"/>
      <c r="EE68" s="23"/>
      <c r="EF68" s="23">
        <v>240000</v>
      </c>
      <c r="EG68" s="23"/>
      <c r="EH68" s="23"/>
      <c r="EI68" s="23"/>
      <c r="EJ68" s="23"/>
      <c r="EK68" s="23"/>
      <c r="EL68" s="23"/>
      <c r="EM68" s="23"/>
      <c r="EN68" s="23"/>
      <c r="EO68" s="23"/>
      <c r="EP68" s="23">
        <v>280000</v>
      </c>
      <c r="EQ68" s="45">
        <f>MEDIAN(EF68,EP68)</f>
        <v>260000</v>
      </c>
      <c r="ER68" s="45">
        <f>AVERAGE(EF68,EP68)</f>
        <v>260000</v>
      </c>
      <c r="ES68" s="45">
        <f>+STDEV(EF68,EP68)</f>
        <v>28284.2712474619</v>
      </c>
      <c r="ET68" s="46">
        <f t="shared" ref="ET68" si="25">ES68/ER68</f>
        <v>0.10878565864408424</v>
      </c>
      <c r="EU68" s="44">
        <f>EW68/1.19</f>
        <v>218487.3949579832</v>
      </c>
      <c r="EV68" s="44">
        <f>EU68*19%</f>
        <v>41512.60504201681</v>
      </c>
      <c r="EW68" s="44">
        <f>+ROUNDUP(IF(ET68&lt;15%,ER68,EQ68),0)</f>
        <v>260000</v>
      </c>
      <c r="EX68" s="103">
        <f t="shared" si="18"/>
        <v>2600000</v>
      </c>
      <c r="EY68" s="26" t="s">
        <v>109</v>
      </c>
    </row>
    <row r="69" spans="1:156" ht="26.25" customHeight="1" x14ac:dyDescent="0.35">
      <c r="A69" s="231" t="s">
        <v>41</v>
      </c>
      <c r="B69" s="232"/>
      <c r="C69" s="232"/>
      <c r="D69" s="232"/>
      <c r="E69" s="232"/>
      <c r="F69" s="233"/>
      <c r="G69" s="127"/>
      <c r="H69" s="17"/>
      <c r="I69" s="18"/>
      <c r="J69" s="18"/>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19"/>
      <c r="BH69" s="19"/>
      <c r="BI69" s="19"/>
      <c r="BJ69" s="19"/>
      <c r="BK69" s="19"/>
      <c r="BL69" s="19"/>
      <c r="BM69" s="19"/>
      <c r="BN69" s="19"/>
      <c r="BO69" s="19"/>
      <c r="BP69" s="19"/>
      <c r="BQ69" s="19"/>
      <c r="BR69" s="19"/>
      <c r="BS69" s="19"/>
      <c r="BT69" s="19"/>
      <c r="BU69" s="19"/>
      <c r="BV69" s="19"/>
      <c r="BW69" s="19"/>
      <c r="BX69" s="19"/>
      <c r="BY69" s="19"/>
      <c r="BZ69" s="19"/>
      <c r="CA69" s="19"/>
      <c r="CB69" s="19"/>
      <c r="CC69" s="19"/>
      <c r="CD69" s="19"/>
      <c r="CE69" s="19"/>
      <c r="CF69" s="19"/>
      <c r="CG69" s="19"/>
      <c r="CH69" s="19"/>
      <c r="CI69" s="19"/>
      <c r="CJ69" s="19"/>
      <c r="CK69" s="19"/>
      <c r="CL69" s="19"/>
      <c r="CM69" s="19"/>
      <c r="CN69" s="19"/>
      <c r="CO69" s="19"/>
      <c r="CP69" s="19"/>
      <c r="CQ69" s="19"/>
      <c r="CR69" s="19"/>
      <c r="CS69" s="19"/>
      <c r="CT69" s="19"/>
      <c r="CU69" s="19"/>
      <c r="CV69" s="19"/>
      <c r="CW69" s="19"/>
      <c r="CX69" s="19"/>
      <c r="CY69" s="19"/>
      <c r="CZ69" s="19"/>
      <c r="DA69" s="19"/>
      <c r="DB69" s="19"/>
      <c r="DC69" s="19"/>
      <c r="DD69" s="19"/>
      <c r="DE69" s="19"/>
      <c r="DF69" s="19"/>
      <c r="DG69" s="19"/>
      <c r="DH69" s="19"/>
      <c r="DI69" s="19"/>
      <c r="DJ69" s="19"/>
      <c r="DK69" s="19"/>
      <c r="DL69" s="19"/>
      <c r="DM69" s="19"/>
      <c r="DN69" s="213"/>
      <c r="DO69" s="41"/>
      <c r="DP69" s="70"/>
      <c r="DQ69" s="70"/>
      <c r="DR69" s="70"/>
      <c r="DS69" s="70"/>
      <c r="DT69" s="70"/>
      <c r="DU69" s="70"/>
      <c r="DV69" s="70"/>
      <c r="DW69" s="70"/>
      <c r="DX69" s="70"/>
      <c r="DY69" s="70"/>
      <c r="DZ69" s="70"/>
      <c r="EA69" s="70"/>
      <c r="EB69" s="70"/>
      <c r="EC69" s="70"/>
      <c r="ED69" s="70"/>
      <c r="EE69" s="70"/>
      <c r="EF69" s="70"/>
      <c r="EG69" s="70"/>
      <c r="EH69" s="70"/>
      <c r="EI69" s="70"/>
      <c r="EJ69" s="70"/>
      <c r="EK69" s="70"/>
      <c r="EL69" s="70"/>
      <c r="EM69" s="70"/>
      <c r="EN69" s="70"/>
      <c r="EO69" s="70"/>
      <c r="EP69" s="70"/>
      <c r="EQ69" s="45"/>
      <c r="ER69" s="45"/>
      <c r="ES69" s="45"/>
      <c r="ET69" s="71"/>
      <c r="EU69" s="106"/>
      <c r="EV69" s="107"/>
      <c r="EW69" s="107"/>
      <c r="EX69" s="107"/>
      <c r="EY69" s="108"/>
    </row>
    <row r="70" spans="1:156" ht="81" x14ac:dyDescent="0.35">
      <c r="A70" s="72">
        <f>+A68+1</f>
        <v>59</v>
      </c>
      <c r="B70" s="145" t="s">
        <v>389</v>
      </c>
      <c r="C70" s="64" t="s">
        <v>415</v>
      </c>
      <c r="D70" s="62" t="s">
        <v>16</v>
      </c>
      <c r="E70" s="62">
        <v>5</v>
      </c>
      <c r="F70" s="63"/>
      <c r="G70" s="125"/>
      <c r="H70" s="48">
        <v>700000</v>
      </c>
      <c r="I70" s="48">
        <v>735700</v>
      </c>
      <c r="J70" s="48">
        <v>700000</v>
      </c>
      <c r="K70" s="48">
        <v>735700</v>
      </c>
      <c r="L70" s="48"/>
      <c r="M70" s="48"/>
      <c r="N70" s="48"/>
      <c r="O70" s="48"/>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c r="BP70" s="19"/>
      <c r="BQ70" s="49">
        <v>745000</v>
      </c>
      <c r="BR70" s="49"/>
      <c r="BS70" s="49"/>
      <c r="BT70" s="49"/>
      <c r="BU70" s="49"/>
      <c r="BV70" s="49"/>
      <c r="BW70" s="49"/>
      <c r="BX70" s="49"/>
      <c r="BY70" s="49"/>
      <c r="BZ70" s="49"/>
      <c r="CA70" s="49"/>
      <c r="CB70" s="49"/>
      <c r="CC70" s="49"/>
      <c r="CD70" s="49"/>
      <c r="CE70" s="49"/>
      <c r="CF70" s="49"/>
      <c r="CG70" s="49"/>
      <c r="CH70" s="49"/>
      <c r="CI70" s="49"/>
      <c r="CJ70" s="49"/>
      <c r="CK70" s="49"/>
      <c r="CL70" s="49"/>
      <c r="CM70" s="49"/>
      <c r="CN70" s="49"/>
      <c r="CO70" s="49"/>
      <c r="CP70" s="49"/>
      <c r="CQ70" s="49"/>
      <c r="CR70" s="49"/>
      <c r="CS70" s="49"/>
      <c r="CT70" s="49"/>
      <c r="CU70" s="49"/>
      <c r="CV70" s="49"/>
      <c r="CW70" s="49"/>
      <c r="CX70" s="49"/>
      <c r="CY70" s="49"/>
      <c r="CZ70" s="49"/>
      <c r="DA70" s="49"/>
      <c r="DB70" s="49"/>
      <c r="DC70" s="49"/>
      <c r="DD70" s="49"/>
      <c r="DE70" s="49"/>
      <c r="DF70" s="49"/>
      <c r="DG70" s="49"/>
      <c r="DH70" s="49"/>
      <c r="DI70" s="49"/>
      <c r="DJ70" s="49"/>
      <c r="DK70" s="49"/>
      <c r="DL70" s="49"/>
      <c r="DM70" s="49"/>
      <c r="DN70" s="44">
        <v>773500</v>
      </c>
      <c r="DO70" s="22"/>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45">
        <f>MEDIAN(I70,K70,BQ70)</f>
        <v>735700</v>
      </c>
      <c r="ER70" s="45">
        <f>AVERAGE(I70,K70,BQ70)</f>
        <v>738800</v>
      </c>
      <c r="ES70" s="45">
        <f>+STDEV(I70,K70,BQ70)</f>
        <v>5369.3575034635196</v>
      </c>
      <c r="ET70" s="46">
        <f t="shared" si="4"/>
        <v>7.2676739353864641E-3</v>
      </c>
      <c r="EU70" s="44">
        <f>EW70/1.19</f>
        <v>620840.33613445377</v>
      </c>
      <c r="EV70" s="44">
        <f>EU70*19%</f>
        <v>117959.66386554622</v>
      </c>
      <c r="EW70" s="44">
        <f>+ROUNDUP(IF(ET70&lt;15%,ER70,EQ70),0)</f>
        <v>738800</v>
      </c>
      <c r="EX70" s="103">
        <f t="shared" ref="EX70:EX79" si="26">+EW70*E70</f>
        <v>3694000</v>
      </c>
      <c r="EY70" s="26" t="s">
        <v>109</v>
      </c>
    </row>
    <row r="71" spans="1:156" ht="27" x14ac:dyDescent="0.35">
      <c r="A71" s="61">
        <f>+A70+1</f>
        <v>60</v>
      </c>
      <c r="B71" s="145" t="s">
        <v>42</v>
      </c>
      <c r="C71" s="64" t="s">
        <v>43</v>
      </c>
      <c r="D71" s="62" t="s">
        <v>16</v>
      </c>
      <c r="E71" s="62">
        <v>5</v>
      </c>
      <c r="F71" s="63"/>
      <c r="G71" s="125"/>
      <c r="H71" s="17"/>
      <c r="I71" s="18"/>
      <c r="J71" s="18"/>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c r="BP71" s="19"/>
      <c r="BQ71" s="19"/>
      <c r="BR71" s="19"/>
      <c r="BS71" s="19"/>
      <c r="BT71" s="19"/>
      <c r="BU71" s="19"/>
      <c r="BV71" s="19"/>
      <c r="BW71" s="19"/>
      <c r="BX71" s="19"/>
      <c r="BY71" s="19"/>
      <c r="BZ71" s="19"/>
      <c r="CA71" s="19"/>
      <c r="CB71" s="19"/>
      <c r="CC71" s="19"/>
      <c r="CD71" s="19"/>
      <c r="CE71" s="19"/>
      <c r="CF71" s="19"/>
      <c r="CG71" s="19"/>
      <c r="CH71" s="19"/>
      <c r="CI71" s="19"/>
      <c r="CJ71" s="19"/>
      <c r="CK71" s="19"/>
      <c r="CL71" s="19"/>
      <c r="CM71" s="19"/>
      <c r="CN71" s="19"/>
      <c r="CO71" s="19"/>
      <c r="CP71" s="19"/>
      <c r="CQ71" s="19"/>
      <c r="CR71" s="19"/>
      <c r="CS71" s="19"/>
      <c r="CT71" s="19"/>
      <c r="CU71" s="19"/>
      <c r="CV71" s="19"/>
      <c r="CW71" s="19"/>
      <c r="CX71" s="19"/>
      <c r="CY71" s="19"/>
      <c r="CZ71" s="19"/>
      <c r="DA71" s="19"/>
      <c r="DB71" s="19"/>
      <c r="DC71" s="19"/>
      <c r="DD71" s="19"/>
      <c r="DE71" s="19"/>
      <c r="DF71" s="19"/>
      <c r="DG71" s="19"/>
      <c r="DH71" s="19"/>
      <c r="DI71" s="19"/>
      <c r="DJ71" s="19"/>
      <c r="DK71" s="19"/>
      <c r="DL71" s="19"/>
      <c r="DM71" s="19"/>
      <c r="DN71" s="44">
        <v>654500</v>
      </c>
      <c r="DO71" s="22"/>
      <c r="DP71" s="23">
        <v>595000</v>
      </c>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45">
        <f>MEDIAN(AP71,DN71,DP71)</f>
        <v>624750</v>
      </c>
      <c r="ER71" s="45">
        <f>AVERAGE(AP71,DN71,DP71)</f>
        <v>624750</v>
      </c>
      <c r="ES71" s="45">
        <f>+STDEV(AP71,DN71,DP71)</f>
        <v>42072.853480599581</v>
      </c>
      <c r="ET71" s="46">
        <f t="shared" si="4"/>
        <v>6.7343502970147393E-2</v>
      </c>
      <c r="EU71" s="44">
        <f>EW71/1.19</f>
        <v>525000</v>
      </c>
      <c r="EV71" s="44">
        <f>EU71*19%</f>
        <v>99750</v>
      </c>
      <c r="EW71" s="44">
        <f>+ROUNDUP(IF(ET71&lt;15%,ER71,EQ71),0)</f>
        <v>624750</v>
      </c>
      <c r="EX71" s="103">
        <f t="shared" si="26"/>
        <v>3123750</v>
      </c>
      <c r="EY71" s="26" t="s">
        <v>109</v>
      </c>
    </row>
    <row r="72" spans="1:156" ht="40.5" x14ac:dyDescent="0.35">
      <c r="A72" s="61">
        <f t="shared" ref="A72:A79" si="27">+A71+1</f>
        <v>61</v>
      </c>
      <c r="B72" s="145" t="s">
        <v>44</v>
      </c>
      <c r="C72" s="64" t="s">
        <v>241</v>
      </c>
      <c r="D72" s="62" t="s">
        <v>17</v>
      </c>
      <c r="E72" s="62">
        <v>100</v>
      </c>
      <c r="F72" s="63"/>
      <c r="G72" s="125"/>
      <c r="H72" s="17"/>
      <c r="I72" s="18"/>
      <c r="J72" s="18"/>
      <c r="K72" s="19"/>
      <c r="L72" s="19"/>
      <c r="M72" s="19"/>
      <c r="N72" s="19"/>
      <c r="O72" s="19"/>
      <c r="P72" s="19"/>
      <c r="Q72" s="19"/>
      <c r="R72" s="19"/>
      <c r="S72" s="19"/>
      <c r="T72" s="19"/>
      <c r="U72" s="48">
        <v>3000</v>
      </c>
      <c r="V72" s="48">
        <v>3153</v>
      </c>
      <c r="W72" s="48">
        <v>2000</v>
      </c>
      <c r="X72" s="48">
        <v>2102</v>
      </c>
      <c r="Y72" s="48">
        <v>2000</v>
      </c>
      <c r="Z72" s="48">
        <v>2102</v>
      </c>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19"/>
      <c r="BD72" s="19"/>
      <c r="BE72" s="19"/>
      <c r="BF72" s="19"/>
      <c r="BG72" s="19"/>
      <c r="BH72" s="19"/>
      <c r="BI72" s="19"/>
      <c r="BJ72" s="19"/>
      <c r="BK72" s="19"/>
      <c r="BL72" s="19"/>
      <c r="BM72" s="19"/>
      <c r="BN72" s="19"/>
      <c r="BO72" s="19"/>
      <c r="BP72" s="19"/>
      <c r="BQ72" s="19"/>
      <c r="BR72" s="19"/>
      <c r="BS72" s="19"/>
      <c r="BT72" s="19"/>
      <c r="BU72" s="19"/>
      <c r="BV72" s="19"/>
      <c r="BW72" s="19"/>
      <c r="BX72" s="19"/>
      <c r="BY72" s="19"/>
      <c r="BZ72" s="19"/>
      <c r="CA72" s="19"/>
      <c r="CB72" s="19"/>
      <c r="CC72" s="19"/>
      <c r="CD72" s="19"/>
      <c r="CE72" s="19"/>
      <c r="CF72" s="19"/>
      <c r="CG72" s="19"/>
      <c r="CH72" s="19"/>
      <c r="CI72" s="19"/>
      <c r="CJ72" s="19"/>
      <c r="CK72" s="19"/>
      <c r="CL72" s="19"/>
      <c r="CM72" s="19"/>
      <c r="CN72" s="19"/>
      <c r="CO72" s="19"/>
      <c r="CP72" s="19"/>
      <c r="CQ72" s="19"/>
      <c r="CR72" s="19"/>
      <c r="CS72" s="19"/>
      <c r="CT72" s="19"/>
      <c r="CU72" s="19"/>
      <c r="CV72" s="19"/>
      <c r="CW72" s="19"/>
      <c r="CX72" s="19"/>
      <c r="CY72" s="19"/>
      <c r="CZ72" s="19"/>
      <c r="DA72" s="19"/>
      <c r="DB72" s="19"/>
      <c r="DC72" s="19"/>
      <c r="DD72" s="19"/>
      <c r="DE72" s="19"/>
      <c r="DF72" s="19"/>
      <c r="DG72" s="19"/>
      <c r="DH72" s="19"/>
      <c r="DI72" s="19"/>
      <c r="DJ72" s="19"/>
      <c r="DK72" s="19"/>
      <c r="DL72" s="19"/>
      <c r="DM72" s="19"/>
      <c r="DN72" s="44"/>
      <c r="DO72" s="22"/>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45">
        <f>MEDIAN(V72,X72,Z72)</f>
        <v>2102</v>
      </c>
      <c r="ER72" s="45">
        <f>AVERAGE(V72,X72,Z72)</f>
        <v>2452.3333333333335</v>
      </c>
      <c r="ES72" s="45">
        <f>+STDEV(V72,X72,Z72)</f>
        <v>606.79513291829721</v>
      </c>
      <c r="ET72" s="46">
        <f t="shared" si="4"/>
        <v>0.24743582965269695</v>
      </c>
      <c r="EU72" s="44">
        <v>2102</v>
      </c>
      <c r="EV72" s="47">
        <v>0</v>
      </c>
      <c r="EW72" s="44">
        <v>2102</v>
      </c>
      <c r="EX72" s="103">
        <f t="shared" si="26"/>
        <v>210200</v>
      </c>
      <c r="EY72" s="26" t="s">
        <v>220</v>
      </c>
    </row>
    <row r="73" spans="1:156" ht="216" x14ac:dyDescent="0.35">
      <c r="A73" s="61">
        <f t="shared" si="27"/>
        <v>62</v>
      </c>
      <c r="B73" s="64" t="s">
        <v>118</v>
      </c>
      <c r="C73" s="64" t="s">
        <v>119</v>
      </c>
      <c r="D73" s="62" t="s">
        <v>17</v>
      </c>
      <c r="E73" s="62">
        <v>100</v>
      </c>
      <c r="F73" s="63"/>
      <c r="G73" s="125"/>
      <c r="H73" s="17"/>
      <c r="I73" s="18"/>
      <c r="J73" s="18"/>
      <c r="K73" s="19"/>
      <c r="L73" s="19"/>
      <c r="M73" s="19"/>
      <c r="N73" s="19"/>
      <c r="O73" s="19"/>
      <c r="P73" s="19"/>
      <c r="Q73" s="48">
        <v>38000</v>
      </c>
      <c r="R73" s="48">
        <f>+(Q73*5.1%)+Q73</f>
        <v>39938</v>
      </c>
      <c r="S73" s="48">
        <v>37000</v>
      </c>
      <c r="T73" s="48">
        <f>+(S73*5.1%)+S73</f>
        <v>38887</v>
      </c>
      <c r="U73" s="48">
        <v>29000</v>
      </c>
      <c r="V73" s="48">
        <v>30479</v>
      </c>
      <c r="W73" s="48">
        <v>37000</v>
      </c>
      <c r="X73" s="48">
        <v>38887</v>
      </c>
      <c r="Y73" s="48">
        <v>27000</v>
      </c>
      <c r="Z73" s="48">
        <v>28404</v>
      </c>
      <c r="AA73" s="48">
        <v>27500</v>
      </c>
      <c r="AB73" s="51">
        <v>28903</v>
      </c>
      <c r="AC73" s="48">
        <v>35000</v>
      </c>
      <c r="AD73" s="48">
        <v>36785</v>
      </c>
      <c r="AE73" s="48"/>
      <c r="AF73" s="48"/>
      <c r="AG73" s="48"/>
      <c r="AH73" s="48"/>
      <c r="AI73" s="48"/>
      <c r="AJ73" s="48"/>
      <c r="AK73" s="48"/>
      <c r="AL73" s="48"/>
      <c r="AM73" s="48"/>
      <c r="AN73" s="48"/>
      <c r="AO73" s="48"/>
      <c r="AP73" s="48"/>
      <c r="AQ73" s="48"/>
      <c r="AR73" s="48"/>
      <c r="AS73" s="48"/>
      <c r="AT73" s="48"/>
      <c r="AU73" s="48"/>
      <c r="AV73" s="48"/>
      <c r="AW73" s="48"/>
      <c r="AX73" s="48"/>
      <c r="AY73" s="48"/>
      <c r="AZ73" s="48"/>
      <c r="BA73" s="48"/>
      <c r="BB73" s="48"/>
      <c r="BC73" s="48"/>
      <c r="BD73" s="48"/>
      <c r="BE73" s="48"/>
      <c r="BF73" s="48"/>
      <c r="BG73" s="48"/>
      <c r="BH73" s="48"/>
      <c r="BI73" s="48"/>
      <c r="BJ73" s="48"/>
      <c r="BK73" s="48"/>
      <c r="BL73" s="48"/>
      <c r="BM73" s="48"/>
      <c r="BN73" s="48"/>
      <c r="BO73" s="48"/>
      <c r="BP73" s="48"/>
      <c r="BQ73" s="48"/>
      <c r="BR73" s="48"/>
      <c r="BS73" s="48"/>
      <c r="BT73" s="48"/>
      <c r="BU73" s="48"/>
      <c r="BV73" s="48"/>
      <c r="BW73" s="48"/>
      <c r="BX73" s="48"/>
      <c r="BY73" s="48"/>
      <c r="BZ73" s="48"/>
      <c r="CA73" s="48"/>
      <c r="CB73" s="48"/>
      <c r="CC73" s="48"/>
      <c r="CD73" s="48"/>
      <c r="CE73" s="48"/>
      <c r="CF73" s="48"/>
      <c r="CG73" s="48"/>
      <c r="CH73" s="48"/>
      <c r="CI73" s="48"/>
      <c r="CJ73" s="48"/>
      <c r="CK73" s="48"/>
      <c r="CL73" s="48"/>
      <c r="CM73" s="48"/>
      <c r="CN73" s="48"/>
      <c r="CO73" s="48"/>
      <c r="CP73" s="48"/>
      <c r="CQ73" s="48"/>
      <c r="CR73" s="48"/>
      <c r="CS73" s="48"/>
      <c r="CT73" s="48"/>
      <c r="CU73" s="48"/>
      <c r="CV73" s="48"/>
      <c r="CW73" s="48"/>
      <c r="CX73" s="48"/>
      <c r="CY73" s="48"/>
      <c r="CZ73" s="48"/>
      <c r="DA73" s="48"/>
      <c r="DB73" s="48"/>
      <c r="DC73" s="48"/>
      <c r="DD73" s="48"/>
      <c r="DE73" s="48"/>
      <c r="DF73" s="48"/>
      <c r="DG73" s="48"/>
      <c r="DH73" s="48"/>
      <c r="DI73" s="48"/>
      <c r="DJ73" s="48"/>
      <c r="DK73" s="48"/>
      <c r="DL73" s="48"/>
      <c r="DM73" s="48"/>
      <c r="DN73" s="44"/>
      <c r="DO73" s="22"/>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45">
        <f>MEDIAN(V73,X73,Z73,AB73,AD73,R73,T73)</f>
        <v>36785</v>
      </c>
      <c r="ER73" s="45">
        <f>AVERAGE(V73,X73,Z73,AB73,AD73,R73,T73)</f>
        <v>34611.857142857145</v>
      </c>
      <c r="ES73" s="45">
        <f>+STDEV(V73,X73,Z73,AB73,AD73,R73,T73)</f>
        <v>5129.2151585653992</v>
      </c>
      <c r="ET73" s="46">
        <f t="shared" ref="ET73:ET74" si="28">ES73/ER73</f>
        <v>0.14819242831712415</v>
      </c>
      <c r="EU73" s="44">
        <f>EW73/1.08</f>
        <v>32048.148148148146</v>
      </c>
      <c r="EV73" s="44">
        <f>EU73*8%</f>
        <v>2563.8518518518517</v>
      </c>
      <c r="EW73" s="44">
        <f>+ROUNDUP(IF(ET73&lt;15%,ER73,EQ73),0)</f>
        <v>34612</v>
      </c>
      <c r="EX73" s="103">
        <f t="shared" si="26"/>
        <v>3461200</v>
      </c>
      <c r="EY73" s="26" t="s">
        <v>109</v>
      </c>
    </row>
    <row r="74" spans="1:156" ht="67.5" x14ac:dyDescent="0.35">
      <c r="A74" s="61">
        <f t="shared" si="27"/>
        <v>63</v>
      </c>
      <c r="B74" s="141" t="s">
        <v>45</v>
      </c>
      <c r="C74" s="143" t="s">
        <v>223</v>
      </c>
      <c r="D74" s="62" t="s">
        <v>17</v>
      </c>
      <c r="E74" s="62">
        <v>100</v>
      </c>
      <c r="F74" s="63"/>
      <c r="G74" s="125"/>
      <c r="H74" s="17"/>
      <c r="I74" s="18"/>
      <c r="J74" s="18"/>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c r="AS74" s="19"/>
      <c r="AT74" s="19"/>
      <c r="AU74" s="19"/>
      <c r="AV74" s="19"/>
      <c r="AW74" s="19"/>
      <c r="AX74" s="19"/>
      <c r="AY74" s="19"/>
      <c r="AZ74" s="19"/>
      <c r="BA74" s="19"/>
      <c r="BB74" s="19"/>
      <c r="BC74" s="19"/>
      <c r="BD74" s="19"/>
      <c r="BE74" s="19"/>
      <c r="BF74" s="19"/>
      <c r="BG74" s="19"/>
      <c r="BH74" s="19"/>
      <c r="BI74" s="19"/>
      <c r="BJ74" s="19"/>
      <c r="BK74" s="19"/>
      <c r="BL74" s="19"/>
      <c r="BM74" s="19"/>
      <c r="BN74" s="19"/>
      <c r="BO74" s="19"/>
      <c r="BP74" s="19"/>
      <c r="BQ74" s="19"/>
      <c r="BR74" s="19"/>
      <c r="BS74" s="19"/>
      <c r="BT74" s="19"/>
      <c r="BU74" s="19"/>
      <c r="BV74" s="19"/>
      <c r="BW74" s="19"/>
      <c r="BX74" s="19"/>
      <c r="BY74" s="19"/>
      <c r="BZ74" s="19"/>
      <c r="CA74" s="19"/>
      <c r="CB74" s="19"/>
      <c r="CC74" s="19"/>
      <c r="CD74" s="19"/>
      <c r="CE74" s="19"/>
      <c r="CF74" s="19"/>
      <c r="CG74" s="19"/>
      <c r="CH74" s="19"/>
      <c r="CI74" s="19"/>
      <c r="CJ74" s="19"/>
      <c r="CK74" s="19"/>
      <c r="CL74" s="19"/>
      <c r="CM74" s="19"/>
      <c r="CN74" s="19"/>
      <c r="CO74" s="19"/>
      <c r="CP74" s="19"/>
      <c r="CQ74" s="19"/>
      <c r="CR74" s="19"/>
      <c r="CS74" s="19"/>
      <c r="CT74" s="19"/>
      <c r="CU74" s="19"/>
      <c r="CV74" s="19"/>
      <c r="CW74" s="19"/>
      <c r="CX74" s="19"/>
      <c r="CY74" s="19"/>
      <c r="CZ74" s="19"/>
      <c r="DA74" s="19"/>
      <c r="DB74" s="19"/>
      <c r="DC74" s="19"/>
      <c r="DD74" s="19"/>
      <c r="DE74" s="19"/>
      <c r="DF74" s="19"/>
      <c r="DG74" s="19"/>
      <c r="DH74" s="19"/>
      <c r="DI74" s="19"/>
      <c r="DJ74" s="19"/>
      <c r="DK74" s="19"/>
      <c r="DL74" s="19"/>
      <c r="DM74" s="19"/>
      <c r="DN74" s="44"/>
      <c r="DO74" s="22"/>
      <c r="DP74" s="23">
        <v>476000</v>
      </c>
      <c r="DQ74" s="23"/>
      <c r="DR74" s="23"/>
      <c r="DS74" s="23"/>
      <c r="DT74" s="23"/>
      <c r="DU74" s="23"/>
      <c r="DV74" s="23"/>
      <c r="DW74" s="23"/>
      <c r="DX74" s="23"/>
      <c r="DY74" s="23"/>
      <c r="DZ74" s="23"/>
      <c r="EA74" s="23"/>
      <c r="EB74" s="23"/>
      <c r="EC74" s="23"/>
      <c r="ED74" s="23"/>
      <c r="EE74" s="23"/>
      <c r="EF74" s="23">
        <v>311000</v>
      </c>
      <c r="EG74" s="23"/>
      <c r="EH74" s="23"/>
      <c r="EI74" s="23"/>
      <c r="EJ74" s="23"/>
      <c r="EK74" s="23"/>
      <c r="EL74" s="23"/>
      <c r="EM74" s="23"/>
      <c r="EN74" s="23"/>
      <c r="EO74" s="23"/>
      <c r="EP74" s="23"/>
      <c r="EQ74" s="45">
        <f>MEDIAN(AP74,DN74,DP74,EF74)</f>
        <v>393500</v>
      </c>
      <c r="ER74" s="45">
        <f>AVERAGE(AP74,DN74,DP74,EF74)</f>
        <v>393500</v>
      </c>
      <c r="ES74" s="45">
        <f>+STDEV(AP74,DN74,DP74,EF74)</f>
        <v>116672.61889578034</v>
      </c>
      <c r="ET74" s="46">
        <f t="shared" si="28"/>
        <v>0.296499666825363</v>
      </c>
      <c r="EU74" s="44">
        <f>EW74/1.19</f>
        <v>330672.26890756306</v>
      </c>
      <c r="EV74" s="44">
        <f>EU74*19%</f>
        <v>62827.731092436981</v>
      </c>
      <c r="EW74" s="44">
        <f>+ROUNDUP(IF(ET74&lt;15%,ER74,EQ74),0)</f>
        <v>393500</v>
      </c>
      <c r="EX74" s="103">
        <f t="shared" si="26"/>
        <v>39350000</v>
      </c>
      <c r="EY74" s="26" t="s">
        <v>220</v>
      </c>
    </row>
    <row r="75" spans="1:156" ht="94.5" x14ac:dyDescent="0.35">
      <c r="A75" s="61">
        <f t="shared" si="27"/>
        <v>64</v>
      </c>
      <c r="B75" s="145" t="s">
        <v>170</v>
      </c>
      <c r="C75" s="64" t="s">
        <v>391</v>
      </c>
      <c r="D75" s="62" t="s">
        <v>46</v>
      </c>
      <c r="E75" s="62">
        <v>5</v>
      </c>
      <c r="F75" s="63"/>
      <c r="G75" s="125"/>
      <c r="H75" s="17"/>
      <c r="I75" s="18"/>
      <c r="J75" s="18"/>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48">
        <v>1400000</v>
      </c>
      <c r="AN75" s="48">
        <v>1460000</v>
      </c>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c r="BM75" s="19"/>
      <c r="BN75" s="19"/>
      <c r="BO75" s="19"/>
      <c r="BP75" s="19"/>
      <c r="BQ75" s="19"/>
      <c r="BR75" s="48">
        <v>1437500</v>
      </c>
      <c r="BS75" s="48"/>
      <c r="BT75" s="48"/>
      <c r="BU75" s="48"/>
      <c r="BV75" s="48"/>
      <c r="BW75" s="48"/>
      <c r="BX75" s="48"/>
      <c r="BY75" s="48"/>
      <c r="BZ75" s="48"/>
      <c r="CA75" s="48"/>
      <c r="CB75" s="48"/>
      <c r="CC75" s="48"/>
      <c r="CD75" s="48"/>
      <c r="CE75" s="48"/>
      <c r="CF75" s="48"/>
      <c r="CG75" s="48"/>
      <c r="CH75" s="48"/>
      <c r="CI75" s="48"/>
      <c r="CJ75" s="48"/>
      <c r="CK75" s="48"/>
      <c r="CL75" s="48"/>
      <c r="CM75" s="48"/>
      <c r="CN75" s="48"/>
      <c r="CO75" s="48"/>
      <c r="CP75" s="48"/>
      <c r="CQ75" s="48"/>
      <c r="CR75" s="48"/>
      <c r="CS75" s="48"/>
      <c r="CT75" s="48"/>
      <c r="CU75" s="48"/>
      <c r="CV75" s="48"/>
      <c r="CW75" s="48"/>
      <c r="CX75" s="48"/>
      <c r="CY75" s="48"/>
      <c r="CZ75" s="48"/>
      <c r="DA75" s="48"/>
      <c r="DB75" s="48"/>
      <c r="DC75" s="48"/>
      <c r="DD75" s="48"/>
      <c r="DE75" s="48"/>
      <c r="DF75" s="48"/>
      <c r="DG75" s="48"/>
      <c r="DH75" s="48"/>
      <c r="DI75" s="48"/>
      <c r="DJ75" s="48"/>
      <c r="DK75" s="48"/>
      <c r="DL75" s="48"/>
      <c r="DM75" s="48"/>
      <c r="DN75" s="44"/>
      <c r="DO75" s="22"/>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45">
        <f>MEDIAN(AM75,AN75,BR75)</f>
        <v>1437500</v>
      </c>
      <c r="ER75" s="45">
        <f>AVERAGE(AM75,AN75,BR75)</f>
        <v>1432500</v>
      </c>
      <c r="ES75" s="45">
        <f>+STDEV(AM75,AN75,BR75)</f>
        <v>30310.889132455352</v>
      </c>
      <c r="ET75" s="46">
        <f t="shared" si="4"/>
        <v>2.1159433949358011E-2</v>
      </c>
      <c r="EU75" s="44">
        <f>EW75/1.19</f>
        <v>1203781.512605042</v>
      </c>
      <c r="EV75" s="44">
        <f>EU75*19%</f>
        <v>228718.48739495798</v>
      </c>
      <c r="EW75" s="44">
        <f>+ROUNDUP(IF(ET75&lt;15%,ER75,EQ75),0)</f>
        <v>1432500</v>
      </c>
      <c r="EX75" s="103">
        <f t="shared" si="26"/>
        <v>7162500</v>
      </c>
      <c r="EY75" s="26" t="s">
        <v>109</v>
      </c>
    </row>
    <row r="76" spans="1:156" ht="54" x14ac:dyDescent="0.35">
      <c r="A76" s="61">
        <f t="shared" si="27"/>
        <v>65</v>
      </c>
      <c r="B76" s="221" t="s">
        <v>53</v>
      </c>
      <c r="C76" s="143" t="s">
        <v>15</v>
      </c>
      <c r="D76" s="15" t="s">
        <v>17</v>
      </c>
      <c r="E76" s="62">
        <v>100</v>
      </c>
      <c r="F76" s="63"/>
      <c r="G76" s="125"/>
      <c r="H76" s="17"/>
      <c r="I76" s="18"/>
      <c r="J76" s="18"/>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c r="DL76" s="19"/>
      <c r="DM76" s="19"/>
      <c r="DN76" s="44">
        <v>9520</v>
      </c>
      <c r="DO76" s="22"/>
      <c r="DP76" s="23">
        <v>11900</v>
      </c>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45">
        <f>MEDIAN(AP76,DN76,DP76)</f>
        <v>10710</v>
      </c>
      <c r="ER76" s="45">
        <f>AVERAGE(AP76,DN76,DP76)</f>
        <v>10710</v>
      </c>
      <c r="ES76" s="45">
        <f>+STDEV(AP76,DN76,DP76)</f>
        <v>1682.9141392239831</v>
      </c>
      <c r="ET76" s="46">
        <f t="shared" si="4"/>
        <v>0.15713484026367722</v>
      </c>
      <c r="EU76" s="44">
        <f>EW76/1.19</f>
        <v>9000</v>
      </c>
      <c r="EV76" s="44">
        <f>EU76*19%</f>
        <v>1710</v>
      </c>
      <c r="EW76" s="44">
        <f>+ROUNDUP(IF(ET76&lt;15%,ER76,EQ76),0)</f>
        <v>10710</v>
      </c>
      <c r="EX76" s="103">
        <f t="shared" si="26"/>
        <v>1071000</v>
      </c>
      <c r="EY76" s="26" t="s">
        <v>219</v>
      </c>
    </row>
    <row r="77" spans="1:156" ht="74.25" customHeight="1" x14ac:dyDescent="0.35">
      <c r="A77" s="61">
        <f t="shared" si="27"/>
        <v>66</v>
      </c>
      <c r="B77" s="145" t="s">
        <v>47</v>
      </c>
      <c r="C77" s="64" t="s">
        <v>172</v>
      </c>
      <c r="D77" s="62" t="s">
        <v>16</v>
      </c>
      <c r="E77" s="62">
        <v>5</v>
      </c>
      <c r="F77" s="63"/>
      <c r="G77" s="125"/>
      <c r="H77" s="17"/>
      <c r="I77" s="18"/>
      <c r="J77" s="18"/>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48">
        <v>1280000</v>
      </c>
      <c r="AP77" s="48">
        <v>1345280</v>
      </c>
      <c r="AQ77" s="48">
        <v>1360000</v>
      </c>
      <c r="AR77" s="48">
        <v>1429360</v>
      </c>
      <c r="AS77" s="48">
        <v>1512608</v>
      </c>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c r="BY77" s="19"/>
      <c r="BZ77" s="19"/>
      <c r="CA77" s="19"/>
      <c r="CB77" s="19"/>
      <c r="CC77" s="19"/>
      <c r="CD77" s="19"/>
      <c r="CE77" s="19"/>
      <c r="CF77" s="19"/>
      <c r="CG77" s="19"/>
      <c r="CH77" s="19"/>
      <c r="CI77" s="19"/>
      <c r="CJ77" s="19"/>
      <c r="CK77" s="19"/>
      <c r="CL77" s="19"/>
      <c r="CM77" s="19"/>
      <c r="CN77" s="19"/>
      <c r="CO77" s="19"/>
      <c r="CP77" s="19"/>
      <c r="CQ77" s="19"/>
      <c r="CR77" s="19"/>
      <c r="CS77" s="19"/>
      <c r="CT77" s="19"/>
      <c r="CU77" s="19"/>
      <c r="CV77" s="19"/>
      <c r="CW77" s="19"/>
      <c r="CX77" s="19"/>
      <c r="CY77" s="19"/>
      <c r="CZ77" s="19"/>
      <c r="DA77" s="19"/>
      <c r="DB77" s="19"/>
      <c r="DC77" s="19"/>
      <c r="DD77" s="19"/>
      <c r="DE77" s="19"/>
      <c r="DF77" s="19"/>
      <c r="DG77" s="19"/>
      <c r="DH77" s="19"/>
      <c r="DI77" s="19"/>
      <c r="DJ77" s="19"/>
      <c r="DK77" s="19"/>
      <c r="DL77" s="19"/>
      <c r="DM77" s="19"/>
      <c r="DN77" s="44"/>
      <c r="DO77" s="22"/>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45">
        <f>MEDIAN(AP77,AR77,AS77)</f>
        <v>1429360</v>
      </c>
      <c r="ER77" s="45">
        <f>AVERAGE(AP77,AR77,AS77)</f>
        <v>1429082.6666666667</v>
      </c>
      <c r="ES77" s="45">
        <f>+STDEV(AP77,AR77,AS77)</f>
        <v>83664.344743345311</v>
      </c>
      <c r="ET77" s="46">
        <f t="shared" si="4"/>
        <v>5.8544090341878033E-2</v>
      </c>
      <c r="EU77" s="44">
        <v>1429083</v>
      </c>
      <c r="EV77" s="47">
        <v>0</v>
      </c>
      <c r="EW77" s="44">
        <v>1429083</v>
      </c>
      <c r="EX77" s="103">
        <f t="shared" si="26"/>
        <v>7145415</v>
      </c>
      <c r="EY77" s="26" t="s">
        <v>109</v>
      </c>
    </row>
    <row r="78" spans="1:156" ht="67.5" x14ac:dyDescent="0.35">
      <c r="A78" s="61">
        <f t="shared" si="27"/>
        <v>67</v>
      </c>
      <c r="B78" s="145" t="s">
        <v>48</v>
      </c>
      <c r="C78" s="64" t="s">
        <v>224</v>
      </c>
      <c r="D78" s="62" t="s">
        <v>16</v>
      </c>
      <c r="E78" s="62">
        <v>5</v>
      </c>
      <c r="F78" s="63"/>
      <c r="G78" s="125"/>
      <c r="H78" s="17"/>
      <c r="I78" s="18"/>
      <c r="J78" s="18"/>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c r="BA78" s="19"/>
      <c r="BB78" s="19"/>
      <c r="BC78" s="19"/>
      <c r="BD78" s="19"/>
      <c r="BE78" s="19"/>
      <c r="BF78" s="19"/>
      <c r="BG78" s="19"/>
      <c r="BH78" s="19"/>
      <c r="BI78" s="19"/>
      <c r="BJ78" s="19"/>
      <c r="BK78" s="19"/>
      <c r="BL78" s="19"/>
      <c r="BM78" s="19"/>
      <c r="BN78" s="19"/>
      <c r="BO78" s="19"/>
      <c r="BP78" s="19"/>
      <c r="BQ78" s="19"/>
      <c r="BR78" s="19"/>
      <c r="BS78" s="19"/>
      <c r="BT78" s="19"/>
      <c r="BU78" s="19"/>
      <c r="BV78" s="19"/>
      <c r="BW78" s="19"/>
      <c r="BX78" s="19"/>
      <c r="BY78" s="19"/>
      <c r="BZ78" s="19"/>
      <c r="CA78" s="19"/>
      <c r="CB78" s="19"/>
      <c r="CC78" s="19"/>
      <c r="CD78" s="19"/>
      <c r="CE78" s="19"/>
      <c r="CF78" s="19"/>
      <c r="CG78" s="19"/>
      <c r="CH78" s="19"/>
      <c r="CI78" s="19"/>
      <c r="CJ78" s="19"/>
      <c r="CK78" s="19"/>
      <c r="CL78" s="19"/>
      <c r="CM78" s="19"/>
      <c r="CN78" s="19"/>
      <c r="CO78" s="19"/>
      <c r="CP78" s="19"/>
      <c r="CQ78" s="19"/>
      <c r="CR78" s="19"/>
      <c r="CS78" s="19"/>
      <c r="CT78" s="19"/>
      <c r="CU78" s="19"/>
      <c r="CV78" s="19"/>
      <c r="CW78" s="19"/>
      <c r="CX78" s="19"/>
      <c r="CY78" s="19"/>
      <c r="CZ78" s="19"/>
      <c r="DA78" s="19"/>
      <c r="DB78" s="19"/>
      <c r="DC78" s="19"/>
      <c r="DD78" s="19"/>
      <c r="DE78" s="19"/>
      <c r="DF78" s="19"/>
      <c r="DG78" s="19"/>
      <c r="DH78" s="19"/>
      <c r="DI78" s="19"/>
      <c r="DJ78" s="19"/>
      <c r="DK78" s="19"/>
      <c r="DL78" s="19"/>
      <c r="DM78" s="19"/>
      <c r="DN78" s="44">
        <v>416500</v>
      </c>
      <c r="DO78" s="22"/>
      <c r="DP78" s="23">
        <v>357000</v>
      </c>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45">
        <f>MEDIAN(AP78,DN78,DP78)</f>
        <v>386750</v>
      </c>
      <c r="ER78" s="45">
        <f>AVERAGE(AP78,DN78,DP78)</f>
        <v>386750</v>
      </c>
      <c r="ES78" s="45">
        <f>+STDEV(AP78,DN78,DP78)</f>
        <v>42072.853480599581</v>
      </c>
      <c r="ET78" s="46">
        <f t="shared" ref="ET78:ET79" si="29">ES78/ER78</f>
        <v>0.10878565864408424</v>
      </c>
      <c r="EU78" s="44">
        <f>EW78/1.19</f>
        <v>325000</v>
      </c>
      <c r="EV78" s="44">
        <f>EU78*19%</f>
        <v>61750</v>
      </c>
      <c r="EW78" s="44">
        <f>+ROUNDUP(IF(ET78&lt;15%,ER78,EQ78),0)</f>
        <v>386750</v>
      </c>
      <c r="EX78" s="103">
        <f t="shared" si="26"/>
        <v>1933750</v>
      </c>
      <c r="EY78" s="26" t="s">
        <v>109</v>
      </c>
    </row>
    <row r="79" spans="1:156" ht="81" x14ac:dyDescent="0.35">
      <c r="A79" s="61">
        <f t="shared" si="27"/>
        <v>68</v>
      </c>
      <c r="B79" s="145" t="s">
        <v>49</v>
      </c>
      <c r="C79" s="64" t="s">
        <v>225</v>
      </c>
      <c r="D79" s="62" t="s">
        <v>50</v>
      </c>
      <c r="E79" s="62">
        <v>5</v>
      </c>
      <c r="F79" s="63"/>
      <c r="G79" s="125"/>
      <c r="H79" s="17"/>
      <c r="I79" s="18"/>
      <c r="J79" s="18"/>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c r="CA79" s="19"/>
      <c r="CB79" s="19"/>
      <c r="CC79" s="19"/>
      <c r="CD79" s="19"/>
      <c r="CE79" s="19"/>
      <c r="CF79" s="19"/>
      <c r="CG79" s="19"/>
      <c r="CH79" s="19"/>
      <c r="CI79" s="19"/>
      <c r="CJ79" s="19"/>
      <c r="CK79" s="19"/>
      <c r="CL79" s="19"/>
      <c r="CM79" s="19"/>
      <c r="CN79" s="19"/>
      <c r="CO79" s="19"/>
      <c r="CP79" s="19"/>
      <c r="CQ79" s="19"/>
      <c r="CR79" s="19"/>
      <c r="CS79" s="19"/>
      <c r="CT79" s="19"/>
      <c r="CU79" s="19"/>
      <c r="CV79" s="19"/>
      <c r="CW79" s="19"/>
      <c r="CX79" s="19"/>
      <c r="CY79" s="19"/>
      <c r="CZ79" s="19"/>
      <c r="DA79" s="19"/>
      <c r="DB79" s="19"/>
      <c r="DC79" s="19"/>
      <c r="DD79" s="19"/>
      <c r="DE79" s="19"/>
      <c r="DF79" s="19"/>
      <c r="DG79" s="19"/>
      <c r="DH79" s="19"/>
      <c r="DI79" s="19"/>
      <c r="DJ79" s="19"/>
      <c r="DK79" s="19"/>
      <c r="DL79" s="19"/>
      <c r="DM79" s="19"/>
      <c r="DN79" s="44">
        <v>178500</v>
      </c>
      <c r="DO79" s="22"/>
      <c r="DP79" s="23">
        <v>130900</v>
      </c>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45">
        <f>MEDIAN(AP79,DN79,DP79)</f>
        <v>154700</v>
      </c>
      <c r="ER79" s="45">
        <f>AVERAGE(AP79,DN79,DP79)</f>
        <v>154700</v>
      </c>
      <c r="ES79" s="45">
        <f>+STDEV(AP79,DN79,DP79)</f>
        <v>33658.282784479663</v>
      </c>
      <c r="ET79" s="46">
        <f t="shared" si="29"/>
        <v>0.21757131728816848</v>
      </c>
      <c r="EU79" s="44">
        <f>EW79/1.19</f>
        <v>130000</v>
      </c>
      <c r="EV79" s="44">
        <f>EU79*19%</f>
        <v>24700</v>
      </c>
      <c r="EW79" s="44">
        <f>+ROUNDUP(IF(ET79&lt;15%,ER79,EQ79),0)</f>
        <v>154700</v>
      </c>
      <c r="EX79" s="103">
        <f t="shared" si="26"/>
        <v>773500</v>
      </c>
      <c r="EY79" s="26" t="s">
        <v>219</v>
      </c>
    </row>
    <row r="80" spans="1:156" ht="15.75" customHeight="1" x14ac:dyDescent="0.35">
      <c r="A80" s="109" t="s">
        <v>51</v>
      </c>
      <c r="B80" s="110"/>
      <c r="C80" s="110"/>
      <c r="D80" s="110"/>
      <c r="E80" s="110"/>
      <c r="F80" s="111"/>
      <c r="G80" s="126"/>
      <c r="H80" s="28"/>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12"/>
      <c r="DO80" s="30"/>
      <c r="DP80" s="31"/>
      <c r="DQ80" s="31"/>
      <c r="DR80" s="31"/>
      <c r="DS80" s="31"/>
      <c r="DT80" s="31"/>
      <c r="DU80" s="31"/>
      <c r="DV80" s="31"/>
      <c r="DW80" s="31"/>
      <c r="DX80" s="31"/>
      <c r="DY80" s="31"/>
      <c r="DZ80" s="31"/>
      <c r="EA80" s="31"/>
      <c r="EB80" s="31"/>
      <c r="EC80" s="31"/>
      <c r="ED80" s="31"/>
      <c r="EE80" s="31"/>
      <c r="EF80" s="31"/>
      <c r="EG80" s="31"/>
      <c r="EH80" s="31"/>
      <c r="EI80" s="31"/>
      <c r="EJ80" s="31"/>
      <c r="EK80" s="31"/>
      <c r="EL80" s="31"/>
      <c r="EM80" s="31"/>
      <c r="EN80" s="31"/>
      <c r="EO80" s="31"/>
      <c r="EP80" s="31"/>
      <c r="EQ80" s="55"/>
      <c r="ER80" s="55"/>
      <c r="ES80" s="55"/>
      <c r="ET80" s="56"/>
      <c r="EU80" s="57"/>
      <c r="EV80" s="57"/>
      <c r="EW80" s="58"/>
      <c r="EX80" s="59"/>
      <c r="EY80" s="60"/>
      <c r="EZ80" s="73"/>
    </row>
    <row r="81" spans="1:158" ht="94.5" x14ac:dyDescent="0.35">
      <c r="A81" s="42">
        <f>+A79+1</f>
        <v>69</v>
      </c>
      <c r="B81" s="130" t="s">
        <v>52</v>
      </c>
      <c r="C81" s="130" t="s">
        <v>242</v>
      </c>
      <c r="D81" s="41" t="s">
        <v>16</v>
      </c>
      <c r="E81" s="41">
        <v>1</v>
      </c>
      <c r="F81" s="63"/>
      <c r="G81" s="125"/>
      <c r="H81" s="17"/>
      <c r="I81" s="18"/>
      <c r="J81" s="18"/>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c r="CC81" s="19"/>
      <c r="CD81" s="19"/>
      <c r="CE81" s="19"/>
      <c r="CF81" s="19"/>
      <c r="CG81" s="19"/>
      <c r="CH81" s="19"/>
      <c r="CI81" s="19"/>
      <c r="CJ81" s="19"/>
      <c r="CK81" s="19"/>
      <c r="CL81" s="19"/>
      <c r="CM81" s="19"/>
      <c r="CN81" s="19"/>
      <c r="CO81" s="19"/>
      <c r="CP81" s="19"/>
      <c r="CQ81" s="19"/>
      <c r="CR81" s="19"/>
      <c r="CS81" s="19"/>
      <c r="CT81" s="19"/>
      <c r="CU81" s="19"/>
      <c r="CV81" s="19"/>
      <c r="CW81" s="19"/>
      <c r="CX81" s="19"/>
      <c r="CY81" s="19"/>
      <c r="CZ81" s="19"/>
      <c r="DA81" s="19"/>
      <c r="DB81" s="19"/>
      <c r="DC81" s="19"/>
      <c r="DD81" s="19"/>
      <c r="DE81" s="19"/>
      <c r="DF81" s="19"/>
      <c r="DG81" s="19"/>
      <c r="DH81" s="19"/>
      <c r="DI81" s="19"/>
      <c r="DJ81" s="19"/>
      <c r="DK81" s="19"/>
      <c r="DL81" s="19"/>
      <c r="DM81" s="19"/>
      <c r="DN81" s="44">
        <v>12852000</v>
      </c>
      <c r="DO81" s="22">
        <v>19200000</v>
      </c>
      <c r="DP81" s="23">
        <v>14042000</v>
      </c>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45">
        <f>MEDIAN(DN81,DO81,DP81)</f>
        <v>14042000</v>
      </c>
      <c r="ER81" s="45">
        <f>AVERAGE(DN81,DO81,DP81)</f>
        <v>15364666.666666666</v>
      </c>
      <c r="ES81" s="45">
        <f>+STDEV(DN81,DO81,DP81)</f>
        <v>3374368.2865587319</v>
      </c>
      <c r="ET81" s="46">
        <f t="shared" ref="ET81" si="30">ES81/ER81</f>
        <v>0.2196187108881025</v>
      </c>
      <c r="EU81" s="44">
        <f>EW81/1.19</f>
        <v>11800000</v>
      </c>
      <c r="EV81" s="44">
        <f>EU81*19%</f>
        <v>2242000</v>
      </c>
      <c r="EW81" s="44">
        <f>+ROUNDUP(IF(ET81&lt;15%,ER81,EQ81),0)</f>
        <v>14042000</v>
      </c>
      <c r="EX81" s="103">
        <f t="shared" ref="EX81:EX87" si="31">+EW81*E81</f>
        <v>14042000</v>
      </c>
      <c r="EY81" s="26" t="s">
        <v>219</v>
      </c>
      <c r="FB81" s="228"/>
    </row>
    <row r="82" spans="1:158" ht="250.5" customHeight="1" x14ac:dyDescent="0.35">
      <c r="A82" s="61">
        <f>+A81+1</f>
        <v>70</v>
      </c>
      <c r="B82" s="143" t="s">
        <v>114</v>
      </c>
      <c r="C82" s="143" t="s">
        <v>115</v>
      </c>
      <c r="D82" s="62" t="s">
        <v>17</v>
      </c>
      <c r="E82" s="62">
        <v>160</v>
      </c>
      <c r="F82" s="43"/>
      <c r="G82" s="125"/>
      <c r="H82" s="17"/>
      <c r="I82" s="18"/>
      <c r="J82" s="18"/>
      <c r="K82" s="19"/>
      <c r="L82" s="19"/>
      <c r="M82" s="19"/>
      <c r="N82" s="19"/>
      <c r="O82" s="19"/>
      <c r="P82" s="19"/>
      <c r="Q82" s="48">
        <v>26500</v>
      </c>
      <c r="R82" s="48">
        <f>+(Q82*5.1%)+Q82</f>
        <v>27851.5</v>
      </c>
      <c r="S82" s="48">
        <v>27000</v>
      </c>
      <c r="T82" s="48">
        <f>+(S82*5.1%)+S82</f>
        <v>28377</v>
      </c>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c r="CC82" s="19"/>
      <c r="CD82" s="19"/>
      <c r="CE82" s="19"/>
      <c r="CF82" s="19"/>
      <c r="CG82" s="19"/>
      <c r="CH82" s="19"/>
      <c r="CI82" s="19"/>
      <c r="CJ82" s="19"/>
      <c r="CK82" s="19"/>
      <c r="CL82" s="19"/>
      <c r="CM82" s="19"/>
      <c r="CN82" s="19"/>
      <c r="CO82" s="19"/>
      <c r="CP82" s="19"/>
      <c r="CQ82" s="19"/>
      <c r="CR82" s="19"/>
      <c r="CS82" s="19"/>
      <c r="CT82" s="19"/>
      <c r="CU82" s="19"/>
      <c r="CV82" s="19"/>
      <c r="CW82" s="19"/>
      <c r="CX82" s="19"/>
      <c r="CY82" s="19"/>
      <c r="CZ82" s="19"/>
      <c r="DA82" s="19"/>
      <c r="DB82" s="19"/>
      <c r="DC82" s="19"/>
      <c r="DD82" s="19"/>
      <c r="DE82" s="19"/>
      <c r="DF82" s="19"/>
      <c r="DG82" s="19"/>
      <c r="DH82" s="19"/>
      <c r="DI82" s="19"/>
      <c r="DJ82" s="19"/>
      <c r="DK82" s="19"/>
      <c r="DL82" s="19"/>
      <c r="DM82" s="19"/>
      <c r="DN82" s="44"/>
      <c r="DO82" s="22"/>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45">
        <f>MEDIAN(R82,T82)</f>
        <v>28114.25</v>
      </c>
      <c r="ER82" s="45">
        <f>AVERAGE(R82,T82)</f>
        <v>28114.25</v>
      </c>
      <c r="ES82" s="45">
        <f>+STDEV(R82,T82)</f>
        <v>371.58461351353071</v>
      </c>
      <c r="ET82" s="46">
        <f t="shared" ref="ET82:ET114" si="32">ES82/ER82</f>
        <v>1.3216949181056963E-2</v>
      </c>
      <c r="EU82" s="44">
        <f>EW82/1.19</f>
        <v>23626.050420168067</v>
      </c>
      <c r="EV82" s="44">
        <f>EU82*19%</f>
        <v>4488.9495798319331</v>
      </c>
      <c r="EW82" s="44">
        <f>+ROUNDUP(IF(ET82&lt;15%,ER82,EQ82),0)</f>
        <v>28115</v>
      </c>
      <c r="EX82" s="103">
        <f t="shared" si="31"/>
        <v>4498400</v>
      </c>
      <c r="EY82" s="26" t="s">
        <v>109</v>
      </c>
    </row>
    <row r="83" spans="1:158" ht="236.25" customHeight="1" x14ac:dyDescent="0.35">
      <c r="A83" s="61">
        <f t="shared" ref="A83:A86" si="33">+A82+1</f>
        <v>71</v>
      </c>
      <c r="B83" s="64" t="s">
        <v>118</v>
      </c>
      <c r="C83" s="64" t="s">
        <v>119</v>
      </c>
      <c r="D83" s="62" t="s">
        <v>17</v>
      </c>
      <c r="E83" s="62">
        <v>160</v>
      </c>
      <c r="F83" s="63"/>
      <c r="G83" s="125"/>
      <c r="H83" s="17"/>
      <c r="I83" s="18"/>
      <c r="J83" s="18"/>
      <c r="K83" s="19"/>
      <c r="L83" s="19"/>
      <c r="M83" s="19"/>
      <c r="N83" s="19"/>
      <c r="O83" s="19"/>
      <c r="P83" s="19"/>
      <c r="Q83" s="48">
        <v>38000</v>
      </c>
      <c r="R83" s="48">
        <f>+(Q83*5.1%)+Q83</f>
        <v>39938</v>
      </c>
      <c r="S83" s="48">
        <v>37000</v>
      </c>
      <c r="T83" s="48">
        <f>+(S83*5.1%)+S83</f>
        <v>38887</v>
      </c>
      <c r="U83" s="48">
        <v>29000</v>
      </c>
      <c r="V83" s="48">
        <v>30479</v>
      </c>
      <c r="W83" s="48">
        <v>37000</v>
      </c>
      <c r="X83" s="48">
        <v>38887</v>
      </c>
      <c r="Y83" s="48">
        <v>27000</v>
      </c>
      <c r="Z83" s="48">
        <v>28404</v>
      </c>
      <c r="AA83" s="48">
        <v>27500</v>
      </c>
      <c r="AB83" s="51">
        <v>28903</v>
      </c>
      <c r="AC83" s="48">
        <v>35000</v>
      </c>
      <c r="AD83" s="48">
        <v>36785</v>
      </c>
      <c r="AE83" s="48"/>
      <c r="AF83" s="48"/>
      <c r="AG83" s="48"/>
      <c r="AH83" s="48"/>
      <c r="AI83" s="48"/>
      <c r="AJ83" s="48"/>
      <c r="AK83" s="48"/>
      <c r="AL83" s="48"/>
      <c r="AM83" s="48"/>
      <c r="AN83" s="48"/>
      <c r="AO83" s="48"/>
      <c r="AP83" s="48"/>
      <c r="AQ83" s="48"/>
      <c r="AR83" s="48"/>
      <c r="AS83" s="48"/>
      <c r="AT83" s="48"/>
      <c r="AU83" s="48"/>
      <c r="AV83" s="48"/>
      <c r="AW83" s="48"/>
      <c r="AX83" s="48"/>
      <c r="AY83" s="48"/>
      <c r="AZ83" s="48"/>
      <c r="BA83" s="48"/>
      <c r="BB83" s="48"/>
      <c r="BC83" s="48"/>
      <c r="BD83" s="48"/>
      <c r="BE83" s="48"/>
      <c r="BF83" s="48"/>
      <c r="BG83" s="48"/>
      <c r="BH83" s="48"/>
      <c r="BI83" s="48"/>
      <c r="BJ83" s="48"/>
      <c r="BK83" s="48"/>
      <c r="BL83" s="48"/>
      <c r="BM83" s="48"/>
      <c r="BN83" s="48"/>
      <c r="BO83" s="48"/>
      <c r="BP83" s="48"/>
      <c r="BQ83" s="48"/>
      <c r="BR83" s="48"/>
      <c r="BS83" s="48"/>
      <c r="BT83" s="48"/>
      <c r="BU83" s="48"/>
      <c r="BV83" s="48"/>
      <c r="BW83" s="48"/>
      <c r="BX83" s="48"/>
      <c r="BY83" s="48"/>
      <c r="BZ83" s="48"/>
      <c r="CA83" s="48"/>
      <c r="CB83" s="48"/>
      <c r="CC83" s="48"/>
      <c r="CD83" s="48"/>
      <c r="CE83" s="48"/>
      <c r="CF83" s="48"/>
      <c r="CG83" s="48"/>
      <c r="CH83" s="48"/>
      <c r="CI83" s="48"/>
      <c r="CJ83" s="48"/>
      <c r="CK83" s="48"/>
      <c r="CL83" s="48"/>
      <c r="CM83" s="48"/>
      <c r="CN83" s="48"/>
      <c r="CO83" s="48"/>
      <c r="CP83" s="48"/>
      <c r="CQ83" s="48"/>
      <c r="CR83" s="48"/>
      <c r="CS83" s="48"/>
      <c r="CT83" s="48"/>
      <c r="CU83" s="48"/>
      <c r="CV83" s="48"/>
      <c r="CW83" s="48"/>
      <c r="CX83" s="48"/>
      <c r="CY83" s="48"/>
      <c r="CZ83" s="48"/>
      <c r="DA83" s="48"/>
      <c r="DB83" s="48"/>
      <c r="DC83" s="48"/>
      <c r="DD83" s="48"/>
      <c r="DE83" s="48"/>
      <c r="DF83" s="48"/>
      <c r="DG83" s="48"/>
      <c r="DH83" s="48"/>
      <c r="DI83" s="48"/>
      <c r="DJ83" s="48"/>
      <c r="DK83" s="48"/>
      <c r="DL83" s="48"/>
      <c r="DM83" s="48"/>
      <c r="DN83" s="44"/>
      <c r="DO83" s="22"/>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45">
        <f>MEDIAN(V83,X83,Z83,AB83,AD83,R83,T83)</f>
        <v>36785</v>
      </c>
      <c r="ER83" s="45">
        <f>AVERAGE(V83,X83,Z83,AB83,AD83,R83,T83)</f>
        <v>34611.857142857145</v>
      </c>
      <c r="ES83" s="45">
        <f>+STDEV(V83,X83,Z83,AB83,AD83,R83,T83)</f>
        <v>5129.2151585653992</v>
      </c>
      <c r="ET83" s="46">
        <f t="shared" si="32"/>
        <v>0.14819242831712415</v>
      </c>
      <c r="EU83" s="44">
        <f>EW83/1.08</f>
        <v>32048.148148148146</v>
      </c>
      <c r="EV83" s="44">
        <f>EU83*8%</f>
        <v>2563.8518518518517</v>
      </c>
      <c r="EW83" s="44">
        <f>+ROUNDUP(IF(ET83&lt;15%,ER83,EQ83),0)</f>
        <v>34612</v>
      </c>
      <c r="EX83" s="103">
        <f t="shared" si="31"/>
        <v>5537920</v>
      </c>
      <c r="EY83" s="26" t="s">
        <v>109</v>
      </c>
    </row>
    <row r="84" spans="1:158" ht="75" customHeight="1" x14ac:dyDescent="0.35">
      <c r="A84" s="61">
        <f t="shared" si="33"/>
        <v>72</v>
      </c>
      <c r="B84" s="225" t="s">
        <v>44</v>
      </c>
      <c r="C84" s="64" t="s">
        <v>241</v>
      </c>
      <c r="D84" s="41" t="s">
        <v>17</v>
      </c>
      <c r="E84" s="41">
        <v>160</v>
      </c>
      <c r="F84" s="63"/>
      <c r="G84" s="125"/>
      <c r="H84" s="17"/>
      <c r="I84" s="18"/>
      <c r="J84" s="18"/>
      <c r="K84" s="19"/>
      <c r="L84" s="19"/>
      <c r="M84" s="19"/>
      <c r="N84" s="19"/>
      <c r="O84" s="19"/>
      <c r="P84" s="19"/>
      <c r="Q84" s="19"/>
      <c r="R84" s="19"/>
      <c r="S84" s="19"/>
      <c r="T84" s="19"/>
      <c r="U84" s="48">
        <v>3000</v>
      </c>
      <c r="V84" s="48">
        <v>3153</v>
      </c>
      <c r="W84" s="48">
        <v>2000</v>
      </c>
      <c r="X84" s="48">
        <v>2102</v>
      </c>
      <c r="Y84" s="48">
        <v>2000</v>
      </c>
      <c r="Z84" s="48">
        <v>2102</v>
      </c>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c r="CA84" s="19"/>
      <c r="CB84" s="19"/>
      <c r="CC84" s="19"/>
      <c r="CD84" s="19"/>
      <c r="CE84" s="19"/>
      <c r="CF84" s="19"/>
      <c r="CG84" s="19"/>
      <c r="CH84" s="19"/>
      <c r="CI84" s="19"/>
      <c r="CJ84" s="19"/>
      <c r="CK84" s="19"/>
      <c r="CL84" s="19"/>
      <c r="CM84" s="19"/>
      <c r="CN84" s="19"/>
      <c r="CO84" s="19"/>
      <c r="CP84" s="19"/>
      <c r="CQ84" s="19"/>
      <c r="CR84" s="19"/>
      <c r="CS84" s="19"/>
      <c r="CT84" s="19"/>
      <c r="CU84" s="19"/>
      <c r="CV84" s="19"/>
      <c r="CW84" s="19"/>
      <c r="CX84" s="19"/>
      <c r="CY84" s="19"/>
      <c r="CZ84" s="19"/>
      <c r="DA84" s="19"/>
      <c r="DB84" s="19"/>
      <c r="DC84" s="19"/>
      <c r="DD84" s="19"/>
      <c r="DE84" s="19"/>
      <c r="DF84" s="19"/>
      <c r="DG84" s="19"/>
      <c r="DH84" s="19"/>
      <c r="DI84" s="19"/>
      <c r="DJ84" s="19"/>
      <c r="DK84" s="19"/>
      <c r="DL84" s="19"/>
      <c r="DM84" s="19"/>
      <c r="DN84" s="44"/>
      <c r="DO84" s="22"/>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45">
        <f>MEDIAN(V84,X84,Z84)</f>
        <v>2102</v>
      </c>
      <c r="ER84" s="45">
        <f>AVERAGE(V84,X84,Z84)</f>
        <v>2452.3333333333335</v>
      </c>
      <c r="ES84" s="45">
        <f>+STDEV(V84,X84,Z84)</f>
        <v>606.79513291829721</v>
      </c>
      <c r="ET84" s="46">
        <f t="shared" si="32"/>
        <v>0.24743582965269695</v>
      </c>
      <c r="EU84" s="44">
        <v>2102</v>
      </c>
      <c r="EV84" s="112">
        <v>0</v>
      </c>
      <c r="EW84" s="44">
        <v>2102</v>
      </c>
      <c r="EX84" s="103">
        <f t="shared" si="31"/>
        <v>336320</v>
      </c>
      <c r="EY84" s="26" t="s">
        <v>220</v>
      </c>
    </row>
    <row r="85" spans="1:158" ht="105.75" customHeight="1" x14ac:dyDescent="0.35">
      <c r="A85" s="61">
        <f t="shared" si="33"/>
        <v>73</v>
      </c>
      <c r="B85" s="143" t="s">
        <v>112</v>
      </c>
      <c r="C85" s="143" t="s">
        <v>113</v>
      </c>
      <c r="D85" s="53" t="s">
        <v>16</v>
      </c>
      <c r="E85" s="41">
        <v>4</v>
      </c>
      <c r="F85" s="63"/>
      <c r="G85" s="125"/>
      <c r="H85" s="48">
        <v>1200000</v>
      </c>
      <c r="I85" s="48">
        <v>1261200</v>
      </c>
      <c r="J85" s="48">
        <v>1560000</v>
      </c>
      <c r="K85" s="48">
        <v>1639560</v>
      </c>
      <c r="L85" s="48"/>
      <c r="M85" s="48"/>
      <c r="N85" s="48"/>
      <c r="O85" s="48"/>
      <c r="P85" s="49">
        <v>2000000</v>
      </c>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c r="BY85" s="19"/>
      <c r="BZ85" s="19"/>
      <c r="CA85" s="19"/>
      <c r="CB85" s="19"/>
      <c r="CC85" s="19"/>
      <c r="CD85" s="19"/>
      <c r="CE85" s="19"/>
      <c r="CF85" s="19"/>
      <c r="CG85" s="19"/>
      <c r="CH85" s="19"/>
      <c r="CI85" s="19"/>
      <c r="CJ85" s="19"/>
      <c r="CK85" s="19"/>
      <c r="CL85" s="19"/>
      <c r="CM85" s="19"/>
      <c r="CN85" s="19"/>
      <c r="CO85" s="19"/>
      <c r="CP85" s="19"/>
      <c r="CQ85" s="19"/>
      <c r="CR85" s="19"/>
      <c r="CS85" s="19"/>
      <c r="CT85" s="19"/>
      <c r="CU85" s="19"/>
      <c r="CV85" s="19"/>
      <c r="CW85" s="19"/>
      <c r="CX85" s="19"/>
      <c r="CY85" s="19"/>
      <c r="CZ85" s="19"/>
      <c r="DA85" s="19"/>
      <c r="DB85" s="19"/>
      <c r="DC85" s="19"/>
      <c r="DD85" s="19"/>
      <c r="DE85" s="19"/>
      <c r="DF85" s="19"/>
      <c r="DG85" s="19"/>
      <c r="DH85" s="19"/>
      <c r="DI85" s="19"/>
      <c r="DJ85" s="19"/>
      <c r="DK85" s="19"/>
      <c r="DL85" s="19"/>
      <c r="DM85" s="19"/>
      <c r="DN85" s="44"/>
      <c r="DO85" s="22"/>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45">
        <f>MEDIAN(I85,K85,P85)</f>
        <v>1639560</v>
      </c>
      <c r="ER85" s="45">
        <f>AVERAGE(I85,K85,P85)</f>
        <v>1633586.6666666667</v>
      </c>
      <c r="ES85" s="45">
        <f>+STDEV(I85,K85,P85)</f>
        <v>369436.21984495985</v>
      </c>
      <c r="ET85" s="46">
        <f>ES85/ER85</f>
        <v>0.22615036433836375</v>
      </c>
      <c r="EU85" s="44">
        <v>1639560</v>
      </c>
      <c r="EV85" s="47">
        <v>0</v>
      </c>
      <c r="EW85" s="44">
        <v>1639560</v>
      </c>
      <c r="EX85" s="103">
        <f t="shared" si="31"/>
        <v>6558240</v>
      </c>
      <c r="EY85" s="26" t="s">
        <v>220</v>
      </c>
    </row>
    <row r="86" spans="1:158" ht="54" x14ac:dyDescent="0.35">
      <c r="A86" s="61">
        <f t="shared" si="33"/>
        <v>74</v>
      </c>
      <c r="B86" s="221" t="s">
        <v>53</v>
      </c>
      <c r="C86" s="143" t="s">
        <v>15</v>
      </c>
      <c r="D86" s="42" t="s">
        <v>17</v>
      </c>
      <c r="E86" s="41">
        <v>160</v>
      </c>
      <c r="F86" s="63"/>
      <c r="G86" s="125"/>
      <c r="H86" s="17"/>
      <c r="I86" s="18"/>
      <c r="J86" s="18"/>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c r="CA86" s="19"/>
      <c r="CB86" s="19"/>
      <c r="CC86" s="19"/>
      <c r="CD86" s="19"/>
      <c r="CE86" s="19"/>
      <c r="CF86" s="19"/>
      <c r="CG86" s="19"/>
      <c r="CH86" s="19"/>
      <c r="CI86" s="19"/>
      <c r="CJ86" s="19"/>
      <c r="CK86" s="19"/>
      <c r="CL86" s="19"/>
      <c r="CM86" s="19"/>
      <c r="CN86" s="19"/>
      <c r="CO86" s="19"/>
      <c r="CP86" s="19"/>
      <c r="CQ86" s="19"/>
      <c r="CR86" s="19"/>
      <c r="CS86" s="19"/>
      <c r="CT86" s="19"/>
      <c r="CU86" s="19"/>
      <c r="CV86" s="19"/>
      <c r="CW86" s="19"/>
      <c r="CX86" s="19"/>
      <c r="CY86" s="19"/>
      <c r="CZ86" s="19"/>
      <c r="DA86" s="19"/>
      <c r="DB86" s="19"/>
      <c r="DC86" s="19"/>
      <c r="DD86" s="19"/>
      <c r="DE86" s="19"/>
      <c r="DF86" s="19"/>
      <c r="DG86" s="19"/>
      <c r="DH86" s="19"/>
      <c r="DI86" s="19"/>
      <c r="DJ86" s="19"/>
      <c r="DK86" s="19"/>
      <c r="DL86" s="19"/>
      <c r="DM86" s="19"/>
      <c r="DN86" s="44">
        <v>9520</v>
      </c>
      <c r="DO86" s="22"/>
      <c r="DP86" s="23">
        <v>11900</v>
      </c>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45">
        <f>MEDIAN(DN86,DP86)</f>
        <v>10710</v>
      </c>
      <c r="ER86" s="45">
        <f>AVERAGE(DN86,DP86)</f>
        <v>10710</v>
      </c>
      <c r="ES86" s="45">
        <f>+STDEV(DN86,DP86)</f>
        <v>1682.9141392239831</v>
      </c>
      <c r="ET86" s="46">
        <f t="shared" si="32"/>
        <v>0.15713484026367722</v>
      </c>
      <c r="EU86" s="44">
        <f>EW86/1.19</f>
        <v>9000</v>
      </c>
      <c r="EV86" s="44">
        <f>EU86*19%</f>
        <v>1710</v>
      </c>
      <c r="EW86" s="44">
        <f>+ROUNDUP(IF(ET86&lt;15%,ER86,EQ86),0)</f>
        <v>10710</v>
      </c>
      <c r="EX86" s="103">
        <f t="shared" si="31"/>
        <v>1713600</v>
      </c>
      <c r="EY86" s="26" t="s">
        <v>219</v>
      </c>
    </row>
    <row r="87" spans="1:158" ht="121.9" x14ac:dyDescent="0.35">
      <c r="A87" s="61">
        <f>+A86+1</f>
        <v>75</v>
      </c>
      <c r="B87" s="141" t="s">
        <v>189</v>
      </c>
      <c r="C87" s="143" t="s">
        <v>284</v>
      </c>
      <c r="D87" s="41" t="s">
        <v>17</v>
      </c>
      <c r="E87" s="41">
        <v>160</v>
      </c>
      <c r="F87" s="63"/>
      <c r="G87" s="125"/>
      <c r="H87" s="17"/>
      <c r="I87" s="18"/>
      <c r="J87" s="18"/>
      <c r="K87" s="19"/>
      <c r="L87" s="19"/>
      <c r="M87" s="19"/>
      <c r="N87" s="19"/>
      <c r="O87" s="19"/>
      <c r="P87" s="19"/>
      <c r="Q87" s="48"/>
      <c r="R87" s="16"/>
      <c r="S87" s="48"/>
      <c r="T87" s="16"/>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c r="BY87" s="19"/>
      <c r="BZ87" s="19"/>
      <c r="CA87" s="19"/>
      <c r="CB87" s="19"/>
      <c r="CC87" s="19"/>
      <c r="CD87" s="19"/>
      <c r="CE87" s="19"/>
      <c r="CF87" s="19"/>
      <c r="CG87" s="19"/>
      <c r="CH87" s="19"/>
      <c r="CI87" s="19"/>
      <c r="CJ87" s="19"/>
      <c r="CK87" s="19"/>
      <c r="CL87" s="49"/>
      <c r="CM87" s="49"/>
      <c r="CN87" s="49"/>
      <c r="CO87" s="49"/>
      <c r="CP87" s="49"/>
      <c r="CQ87" s="49"/>
      <c r="CR87" s="49"/>
      <c r="CS87" s="49"/>
      <c r="CT87" s="49"/>
      <c r="CU87" s="49"/>
      <c r="CV87" s="49"/>
      <c r="CW87" s="49"/>
      <c r="CX87" s="49"/>
      <c r="CY87" s="49"/>
      <c r="CZ87" s="49"/>
      <c r="DA87" s="49"/>
      <c r="DB87" s="49"/>
      <c r="DC87" s="49"/>
      <c r="DD87" s="49"/>
      <c r="DE87" s="49"/>
      <c r="DF87" s="49"/>
      <c r="DG87" s="49"/>
      <c r="DH87" s="49"/>
      <c r="DI87" s="49"/>
      <c r="DJ87" s="49"/>
      <c r="DK87" s="49"/>
      <c r="DL87" s="49"/>
      <c r="DM87" s="49"/>
      <c r="DN87" s="44"/>
      <c r="DO87" s="22"/>
      <c r="DP87" s="23"/>
      <c r="DQ87" s="23"/>
      <c r="DR87" s="23"/>
      <c r="DS87" s="23"/>
      <c r="DT87" s="23"/>
      <c r="DU87" s="23"/>
      <c r="DV87" s="23"/>
      <c r="DW87" s="23">
        <v>30000</v>
      </c>
      <c r="DX87" s="23"/>
      <c r="DY87" s="23"/>
      <c r="DZ87" s="23"/>
      <c r="EA87" s="23"/>
      <c r="EB87" s="23"/>
      <c r="EC87" s="23"/>
      <c r="ED87" s="23"/>
      <c r="EE87" s="23"/>
      <c r="EF87" s="202">
        <v>28000</v>
      </c>
      <c r="EG87" s="202"/>
      <c r="EH87" s="202"/>
      <c r="EI87" s="202"/>
      <c r="EJ87" s="202"/>
      <c r="EK87" s="202"/>
      <c r="EL87" s="202"/>
      <c r="EM87" s="202"/>
      <c r="EN87" s="202"/>
      <c r="EO87" s="202"/>
      <c r="EP87" s="202"/>
      <c r="EQ87" s="45">
        <f>MEDIAN(DW87,EF87)</f>
        <v>29000</v>
      </c>
      <c r="ER87" s="45">
        <f>AVERAGE(DW87,EF87)</f>
        <v>29000</v>
      </c>
      <c r="ES87" s="45">
        <f>+STDEV(DW87,EF87)</f>
        <v>1414.2135623730951</v>
      </c>
      <c r="ET87" s="46">
        <f t="shared" si="32"/>
        <v>4.8765984909417075E-2</v>
      </c>
      <c r="EU87" s="44">
        <f>EW87/1.19</f>
        <v>24369.747899159665</v>
      </c>
      <c r="EV87" s="44">
        <f>EU87*19%</f>
        <v>4630.2521008403364</v>
      </c>
      <c r="EW87" s="44">
        <f>+ROUNDUP(IF(ET87&lt;15%,ER87,EQ87),0)</f>
        <v>29000</v>
      </c>
      <c r="EX87" s="103">
        <f t="shared" si="31"/>
        <v>4640000</v>
      </c>
      <c r="EY87" s="26" t="s">
        <v>109</v>
      </c>
    </row>
    <row r="88" spans="1:158" ht="21.6" customHeight="1" x14ac:dyDescent="0.35">
      <c r="A88" s="109" t="s">
        <v>54</v>
      </c>
      <c r="B88" s="110"/>
      <c r="C88" s="110"/>
      <c r="D88" s="110"/>
      <c r="E88" s="110"/>
      <c r="F88" s="111"/>
      <c r="G88" s="126"/>
      <c r="H88" s="28"/>
      <c r="I88" s="29"/>
      <c r="J88" s="29"/>
      <c r="K88" s="29"/>
      <c r="L88" s="29"/>
      <c r="M88" s="29"/>
      <c r="N88" s="29"/>
      <c r="O88" s="29"/>
      <c r="P88" s="29"/>
      <c r="Q88" s="29"/>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c r="BN88" s="29"/>
      <c r="BO88" s="29"/>
      <c r="BP88" s="29"/>
      <c r="BQ88" s="29"/>
      <c r="BR88" s="29"/>
      <c r="BS88" s="29"/>
      <c r="BT88" s="29"/>
      <c r="BU88" s="29"/>
      <c r="BV88" s="29"/>
      <c r="BW88" s="29"/>
      <c r="BX88" s="29"/>
      <c r="BY88" s="29"/>
      <c r="BZ88" s="29"/>
      <c r="CA88" s="29"/>
      <c r="CB88" s="29"/>
      <c r="CC88" s="29"/>
      <c r="CD88" s="29"/>
      <c r="CE88" s="29"/>
      <c r="CF88" s="29"/>
      <c r="CG88" s="29"/>
      <c r="CH88" s="29"/>
      <c r="CI88" s="29"/>
      <c r="CJ88" s="29"/>
      <c r="CK88" s="29"/>
      <c r="CL88" s="29"/>
      <c r="CM88" s="29"/>
      <c r="CN88" s="29"/>
      <c r="CO88" s="29"/>
      <c r="CP88" s="29"/>
      <c r="CQ88" s="29"/>
      <c r="CR88" s="29"/>
      <c r="CS88" s="29"/>
      <c r="CT88" s="29"/>
      <c r="CU88" s="29"/>
      <c r="CV88" s="29"/>
      <c r="CW88" s="29"/>
      <c r="CX88" s="29"/>
      <c r="CY88" s="29"/>
      <c r="CZ88" s="29"/>
      <c r="DA88" s="29"/>
      <c r="DB88" s="29"/>
      <c r="DC88" s="29"/>
      <c r="DD88" s="29"/>
      <c r="DE88" s="29"/>
      <c r="DF88" s="29"/>
      <c r="DG88" s="29"/>
      <c r="DH88" s="29"/>
      <c r="DI88" s="29"/>
      <c r="DJ88" s="29"/>
      <c r="DK88" s="29"/>
      <c r="DL88" s="29"/>
      <c r="DM88" s="29"/>
      <c r="DN88" s="212"/>
      <c r="DO88" s="30"/>
      <c r="DP88" s="31"/>
      <c r="DQ88" s="31"/>
      <c r="DR88" s="31"/>
      <c r="DS88" s="31"/>
      <c r="DT88" s="31"/>
      <c r="DU88" s="31"/>
      <c r="DV88" s="31"/>
      <c r="DW88" s="31"/>
      <c r="DX88" s="31"/>
      <c r="DY88" s="31"/>
      <c r="DZ88" s="31"/>
      <c r="EA88" s="31"/>
      <c r="EB88" s="31"/>
      <c r="EC88" s="31"/>
      <c r="ED88" s="31"/>
      <c r="EE88" s="31"/>
      <c r="EF88" s="31"/>
      <c r="EG88" s="31"/>
      <c r="EH88" s="31"/>
      <c r="EI88" s="31"/>
      <c r="EJ88" s="31"/>
      <c r="EK88" s="31"/>
      <c r="EL88" s="31"/>
      <c r="EM88" s="31"/>
      <c r="EN88" s="31"/>
      <c r="EO88" s="31"/>
      <c r="EP88" s="31"/>
      <c r="EQ88" s="55"/>
      <c r="ER88" s="55"/>
      <c r="ES88" s="55"/>
      <c r="ET88" s="56"/>
      <c r="EU88" s="57"/>
      <c r="EV88" s="57"/>
      <c r="EW88" s="58"/>
      <c r="EX88" s="59"/>
      <c r="EY88" s="60"/>
    </row>
    <row r="89" spans="1:158" ht="40.5" x14ac:dyDescent="0.35">
      <c r="A89" s="27">
        <v>76</v>
      </c>
      <c r="B89" s="143" t="s">
        <v>55</v>
      </c>
      <c r="C89" s="130" t="s">
        <v>176</v>
      </c>
      <c r="D89" s="26" t="s">
        <v>17</v>
      </c>
      <c r="E89" s="27">
        <v>150</v>
      </c>
      <c r="F89" s="63"/>
      <c r="G89" s="125"/>
      <c r="H89" s="17"/>
      <c r="I89" s="18"/>
      <c r="J89" s="18"/>
      <c r="K89" s="19"/>
      <c r="L89" s="19"/>
      <c r="M89" s="19"/>
      <c r="N89" s="19"/>
      <c r="O89" s="19"/>
      <c r="P89" s="19"/>
      <c r="Q89" s="49">
        <v>22610</v>
      </c>
      <c r="R89" s="16">
        <f>+(Q89*5.1%)+Q89</f>
        <v>23763.11</v>
      </c>
      <c r="S89" s="49">
        <v>23800</v>
      </c>
      <c r="T89" s="16">
        <f>+(S89*5.1%)+S89</f>
        <v>25013.8</v>
      </c>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49">
        <v>24000</v>
      </c>
      <c r="AW89" s="49">
        <f t="shared" ref="AW89" si="34">+(AV89*5.1%)+AV89</f>
        <v>25224</v>
      </c>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49">
        <v>17800</v>
      </c>
      <c r="BX89" s="49"/>
      <c r="BY89" s="49"/>
      <c r="BZ89" s="49"/>
      <c r="CA89" s="49"/>
      <c r="CB89" s="49"/>
      <c r="CC89" s="49"/>
      <c r="CD89" s="49"/>
      <c r="CE89" s="49"/>
      <c r="CF89" s="49"/>
      <c r="CG89" s="49"/>
      <c r="CH89" s="49"/>
      <c r="CI89" s="49"/>
      <c r="CJ89" s="49"/>
      <c r="CK89" s="49"/>
      <c r="CL89" s="49"/>
      <c r="CM89" s="49"/>
      <c r="CN89" s="49"/>
      <c r="CO89" s="49"/>
      <c r="CP89" s="49"/>
      <c r="CQ89" s="49"/>
      <c r="CR89" s="49"/>
      <c r="CS89" s="49"/>
      <c r="CT89" s="49"/>
      <c r="CU89" s="49"/>
      <c r="CV89" s="49"/>
      <c r="CW89" s="49"/>
      <c r="CX89" s="49"/>
      <c r="CY89" s="49"/>
      <c r="CZ89" s="49"/>
      <c r="DA89" s="49"/>
      <c r="DB89" s="49"/>
      <c r="DC89" s="49"/>
      <c r="DD89" s="49"/>
      <c r="DE89" s="49"/>
      <c r="DF89" s="49"/>
      <c r="DG89" s="49"/>
      <c r="DH89" s="49"/>
      <c r="DI89" s="49"/>
      <c r="DJ89" s="49"/>
      <c r="DK89" s="49"/>
      <c r="DL89" s="49"/>
      <c r="DM89" s="49"/>
      <c r="DN89" s="44"/>
      <c r="DO89" s="22"/>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45">
        <f>MEDIAN(R89,T89,AW89,BW89)</f>
        <v>24388.455000000002</v>
      </c>
      <c r="ER89" s="45">
        <f>AVERAGE(R89,T89,AW89,BW89)</f>
        <v>22950.227500000001</v>
      </c>
      <c r="ES89" s="45">
        <f>+STDEV(R89,T89,AW89,BW89)</f>
        <v>3493.5175256024731</v>
      </c>
      <c r="ET89" s="46">
        <f t="shared" si="32"/>
        <v>0.15222147691575053</v>
      </c>
      <c r="EU89" s="44">
        <f>EW89/1.19</f>
        <v>20494.957983193279</v>
      </c>
      <c r="EV89" s="44">
        <f>EU89*19%</f>
        <v>3894.042016806723</v>
      </c>
      <c r="EW89" s="44">
        <f>+ROUNDUP(IF(ET89&lt;15%,ER89,EQ89),0)</f>
        <v>24389</v>
      </c>
      <c r="EX89" s="103">
        <f>+EW89*E89</f>
        <v>3658350</v>
      </c>
      <c r="EY89" s="26" t="s">
        <v>109</v>
      </c>
    </row>
    <row r="90" spans="1:158" ht="21.6" customHeight="1" x14ac:dyDescent="0.35">
      <c r="A90" s="109" t="s">
        <v>56</v>
      </c>
      <c r="B90" s="110"/>
      <c r="C90" s="110"/>
      <c r="D90" s="110"/>
      <c r="E90" s="110"/>
      <c r="F90" s="111"/>
      <c r="G90" s="126"/>
      <c r="H90" s="28"/>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c r="DA90" s="29"/>
      <c r="DB90" s="29"/>
      <c r="DC90" s="29"/>
      <c r="DD90" s="29"/>
      <c r="DE90" s="29"/>
      <c r="DF90" s="29"/>
      <c r="DG90" s="29"/>
      <c r="DH90" s="29"/>
      <c r="DI90" s="29"/>
      <c r="DJ90" s="29"/>
      <c r="DK90" s="29"/>
      <c r="DL90" s="29"/>
      <c r="DM90" s="29"/>
      <c r="DN90" s="212"/>
      <c r="DO90" s="30"/>
      <c r="DP90" s="31"/>
      <c r="DQ90" s="31"/>
      <c r="DR90" s="31"/>
      <c r="DS90" s="31"/>
      <c r="DT90" s="31"/>
      <c r="DU90" s="31"/>
      <c r="DV90" s="31"/>
      <c r="DW90" s="31"/>
      <c r="DX90" s="31"/>
      <c r="DY90" s="31"/>
      <c r="DZ90" s="31"/>
      <c r="EA90" s="31"/>
      <c r="EB90" s="31"/>
      <c r="EC90" s="31"/>
      <c r="ED90" s="31"/>
      <c r="EE90" s="31"/>
      <c r="EF90" s="31"/>
      <c r="EG90" s="31"/>
      <c r="EH90" s="31"/>
      <c r="EI90" s="31"/>
      <c r="EJ90" s="31"/>
      <c r="EK90" s="31"/>
      <c r="EL90" s="31"/>
      <c r="EM90" s="31"/>
      <c r="EN90" s="31"/>
      <c r="EO90" s="31"/>
      <c r="EP90" s="31"/>
      <c r="EQ90" s="55"/>
      <c r="ER90" s="55"/>
      <c r="ES90" s="55"/>
      <c r="ET90" s="56"/>
      <c r="EU90" s="57"/>
      <c r="EV90" s="57"/>
      <c r="EW90" s="58"/>
      <c r="EX90" s="59"/>
      <c r="EY90" s="60"/>
      <c r="EZ90" s="73"/>
    </row>
    <row r="91" spans="1:158" ht="163.15" x14ac:dyDescent="0.35">
      <c r="A91" s="27">
        <v>77</v>
      </c>
      <c r="B91" s="145" t="s">
        <v>243</v>
      </c>
      <c r="C91" s="145" t="s">
        <v>255</v>
      </c>
      <c r="D91" s="26" t="s">
        <v>17</v>
      </c>
      <c r="E91" s="26">
        <v>12</v>
      </c>
      <c r="F91" s="63"/>
      <c r="G91" s="125"/>
      <c r="H91" s="17"/>
      <c r="I91" s="18"/>
      <c r="J91" s="18"/>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48"/>
      <c r="BY91" s="48"/>
      <c r="BZ91" s="48"/>
      <c r="CA91" s="48"/>
      <c r="CB91" s="48"/>
      <c r="CC91" s="48"/>
      <c r="CD91" s="48"/>
      <c r="CE91" s="48"/>
      <c r="CF91" s="48"/>
      <c r="CG91" s="48"/>
      <c r="CH91" s="48"/>
      <c r="CI91" s="48"/>
      <c r="CJ91" s="48"/>
      <c r="CK91" s="48"/>
      <c r="CL91" s="48"/>
      <c r="CM91" s="48"/>
      <c r="CN91" s="48"/>
      <c r="CO91" s="48"/>
      <c r="CP91" s="48"/>
      <c r="CQ91" s="48"/>
      <c r="CR91" s="48"/>
      <c r="CS91" s="48"/>
      <c r="CT91" s="48"/>
      <c r="CU91" s="48"/>
      <c r="CV91" s="48"/>
      <c r="CW91" s="48"/>
      <c r="CX91" s="48"/>
      <c r="CY91" s="48"/>
      <c r="CZ91" s="48"/>
      <c r="DA91" s="48"/>
      <c r="DB91" s="48"/>
      <c r="DC91" s="48"/>
      <c r="DD91" s="48"/>
      <c r="DE91" s="48"/>
      <c r="DF91" s="48"/>
      <c r="DG91" s="48"/>
      <c r="DH91" s="48"/>
      <c r="DI91" s="48"/>
      <c r="DJ91" s="48"/>
      <c r="DK91" s="48"/>
      <c r="DL91" s="48"/>
      <c r="DM91" s="48"/>
      <c r="DN91" s="44"/>
      <c r="DO91" s="22"/>
      <c r="DP91" s="117"/>
      <c r="DQ91" s="118">
        <v>116263</v>
      </c>
      <c r="DR91" s="118"/>
      <c r="DS91" s="44"/>
      <c r="DT91" s="119">
        <v>99900.5</v>
      </c>
      <c r="DU91" s="118">
        <v>100000</v>
      </c>
      <c r="DV91" s="23"/>
      <c r="DW91" s="119">
        <v>166600</v>
      </c>
      <c r="DX91" s="119"/>
      <c r="DY91" s="119"/>
      <c r="DZ91" s="119"/>
      <c r="EA91" s="119"/>
      <c r="EB91" s="119"/>
      <c r="EC91" s="119"/>
      <c r="ED91" s="119"/>
      <c r="EE91" s="119"/>
      <c r="EF91" s="119"/>
      <c r="EG91" s="119"/>
      <c r="EH91" s="119"/>
      <c r="EI91" s="119"/>
      <c r="EJ91" s="119"/>
      <c r="EK91" s="119"/>
      <c r="EL91" s="119"/>
      <c r="EM91" s="119"/>
      <c r="EN91" s="119"/>
      <c r="EO91" s="119"/>
      <c r="EP91" s="119"/>
      <c r="EQ91" s="45">
        <f>MEDIAN(DQ91,DT91,DU91,DW91)</f>
        <v>108131.5</v>
      </c>
      <c r="ER91" s="45">
        <f>AVERAGE(DQ91,DT91,DU91,DW91)</f>
        <v>120690.875</v>
      </c>
      <c r="ES91" s="45">
        <f>+STDEV(DQ91,DT91,DU91,DW91)</f>
        <v>31557.38601441032</v>
      </c>
      <c r="ET91" s="46">
        <f t="shared" si="32"/>
        <v>0.26147284137603877</v>
      </c>
      <c r="EU91" s="44">
        <f t="shared" ref="EU91:EU106" si="35">EW91/1.19</f>
        <v>90867.226890756312</v>
      </c>
      <c r="EV91" s="44">
        <f t="shared" ref="EV91:EV106" si="36">EU91*19%</f>
        <v>17264.773109243699</v>
      </c>
      <c r="EW91" s="44">
        <f t="shared" ref="EW91:EW106" si="37">+ROUNDUP(IF(ET91&lt;15%,ER91,EQ91),0)</f>
        <v>108132</v>
      </c>
      <c r="EX91" s="103">
        <f t="shared" ref="EX91:EX110" si="38">+EW91*E91</f>
        <v>1297584</v>
      </c>
      <c r="EY91" s="26" t="s">
        <v>220</v>
      </c>
    </row>
    <row r="92" spans="1:158" ht="217.15" x14ac:dyDescent="0.35">
      <c r="A92" s="27">
        <v>78</v>
      </c>
      <c r="B92" s="141" t="s">
        <v>251</v>
      </c>
      <c r="C92" s="141" t="s">
        <v>424</v>
      </c>
      <c r="D92" s="26" t="s">
        <v>17</v>
      </c>
      <c r="E92" s="26">
        <v>6</v>
      </c>
      <c r="F92" s="63"/>
      <c r="G92" s="125"/>
      <c r="H92" s="17"/>
      <c r="I92" s="18"/>
      <c r="J92" s="18"/>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c r="CA92" s="19"/>
      <c r="CB92" s="19"/>
      <c r="CC92" s="19"/>
      <c r="CD92" s="19"/>
      <c r="CE92" s="19"/>
      <c r="CF92" s="19"/>
      <c r="CG92" s="19"/>
      <c r="CH92" s="19"/>
      <c r="CI92" s="19"/>
      <c r="CJ92" s="19"/>
      <c r="CK92" s="19"/>
      <c r="CL92" s="19"/>
      <c r="CM92" s="19"/>
      <c r="CN92" s="19"/>
      <c r="CO92" s="19"/>
      <c r="CP92" s="19"/>
      <c r="CQ92" s="19"/>
      <c r="CR92" s="19"/>
      <c r="CS92" s="19"/>
      <c r="CT92" s="19"/>
      <c r="CU92" s="19"/>
      <c r="CV92" s="19"/>
      <c r="CW92" s="19"/>
      <c r="CX92" s="19"/>
      <c r="CY92" s="19"/>
      <c r="CZ92" s="19"/>
      <c r="DA92" s="19"/>
      <c r="DB92" s="19"/>
      <c r="DC92" s="19"/>
      <c r="DD92" s="19"/>
      <c r="DE92" s="19"/>
      <c r="DF92" s="19"/>
      <c r="DG92" s="19"/>
      <c r="DH92" s="19"/>
      <c r="DI92" s="19"/>
      <c r="DJ92" s="19"/>
      <c r="DK92" s="19"/>
      <c r="DL92" s="19"/>
      <c r="DM92" s="19"/>
      <c r="DN92" s="44"/>
      <c r="DO92" s="22"/>
      <c r="DP92" s="117"/>
      <c r="DQ92" s="118">
        <v>139468</v>
      </c>
      <c r="DR92" s="118"/>
      <c r="DS92" s="44">
        <v>178000</v>
      </c>
      <c r="DT92" s="118">
        <v>184000</v>
      </c>
      <c r="DU92" s="118">
        <v>203490</v>
      </c>
      <c r="DV92" s="118">
        <v>203490</v>
      </c>
      <c r="DW92" s="119">
        <v>172550</v>
      </c>
      <c r="DX92" s="119"/>
      <c r="DY92" s="119"/>
      <c r="DZ92" s="119"/>
      <c r="EA92" s="119"/>
      <c r="EB92" s="119"/>
      <c r="EC92" s="119"/>
      <c r="ED92" s="119"/>
      <c r="EE92" s="119"/>
      <c r="EF92" s="119"/>
      <c r="EG92" s="119"/>
      <c r="EH92" s="119"/>
      <c r="EI92" s="119"/>
      <c r="EJ92" s="119"/>
      <c r="EK92" s="119"/>
      <c r="EL92" s="119"/>
      <c r="EM92" s="119"/>
      <c r="EN92" s="119"/>
      <c r="EO92" s="119"/>
      <c r="EP92" s="119"/>
      <c r="EQ92" s="45">
        <f>MEDIAN(DP92,DQ92,DS92,DT92,DU92,DV92,DW92)</f>
        <v>181000</v>
      </c>
      <c r="ER92" s="45">
        <f>AVERAGE(DP92,DQ92,DS92,DT92,DU92,DV92,DW92)</f>
        <v>180166.33333333334</v>
      </c>
      <c r="ES92" s="45">
        <f>+STDEV(DP92,DQ92,DS92,DT92,DU92,DV92,DW92)</f>
        <v>23756.008601334288</v>
      </c>
      <c r="ET92" s="46">
        <f t="shared" ref="ET92" si="39">ES92/ER92</f>
        <v>0.13185598086953512</v>
      </c>
      <c r="EU92" s="44">
        <f t="shared" si="35"/>
        <v>151400.84033613445</v>
      </c>
      <c r="EV92" s="44">
        <f t="shared" si="36"/>
        <v>28766.159663865546</v>
      </c>
      <c r="EW92" s="44">
        <f t="shared" si="37"/>
        <v>180167</v>
      </c>
      <c r="EX92" s="103">
        <f t="shared" si="38"/>
        <v>1081002</v>
      </c>
      <c r="EY92" s="26" t="s">
        <v>219</v>
      </c>
    </row>
    <row r="93" spans="1:158" ht="235.5" customHeight="1" x14ac:dyDescent="0.35">
      <c r="A93" s="27">
        <v>79</v>
      </c>
      <c r="B93" s="145" t="s">
        <v>250</v>
      </c>
      <c r="C93" s="145" t="s">
        <v>256</v>
      </c>
      <c r="D93" s="26" t="s">
        <v>17</v>
      </c>
      <c r="E93" s="26">
        <v>12</v>
      </c>
      <c r="F93" s="63"/>
      <c r="G93" s="125"/>
      <c r="H93" s="17"/>
      <c r="I93" s="18"/>
      <c r="J93" s="18"/>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c r="CA93" s="19"/>
      <c r="CB93" s="19"/>
      <c r="CC93" s="76">
        <v>86900</v>
      </c>
      <c r="CD93" s="76">
        <v>91332</v>
      </c>
      <c r="CE93" s="49">
        <v>90653</v>
      </c>
      <c r="CF93" s="49">
        <v>128700</v>
      </c>
      <c r="CG93" s="49"/>
      <c r="CH93" s="49"/>
      <c r="CI93" s="49"/>
      <c r="CJ93" s="49"/>
      <c r="CK93" s="49"/>
      <c r="CL93" s="49"/>
      <c r="CM93" s="49"/>
      <c r="CN93" s="49"/>
      <c r="CO93" s="49"/>
      <c r="CP93" s="49"/>
      <c r="CQ93" s="49"/>
      <c r="CR93" s="49"/>
      <c r="CS93" s="49"/>
      <c r="CT93" s="49"/>
      <c r="CU93" s="49"/>
      <c r="CV93" s="49"/>
      <c r="CW93" s="49"/>
      <c r="CX93" s="49"/>
      <c r="CY93" s="49"/>
      <c r="CZ93" s="49"/>
      <c r="DA93" s="49"/>
      <c r="DB93" s="49"/>
      <c r="DC93" s="49"/>
      <c r="DD93" s="49"/>
      <c r="DE93" s="49"/>
      <c r="DF93" s="49"/>
      <c r="DG93" s="49"/>
      <c r="DH93" s="49"/>
      <c r="DI93" s="49"/>
      <c r="DJ93" s="49"/>
      <c r="DK93" s="49"/>
      <c r="DL93" s="49"/>
      <c r="DM93" s="49"/>
      <c r="DN93" s="44"/>
      <c r="DO93" s="22"/>
      <c r="DP93" s="118">
        <v>130000</v>
      </c>
      <c r="DQ93" s="23">
        <v>232000</v>
      </c>
      <c r="DR93" s="23"/>
      <c r="DS93" s="23"/>
      <c r="DT93" s="118"/>
      <c r="DU93" s="118">
        <v>192000</v>
      </c>
      <c r="DV93" s="118">
        <v>189210</v>
      </c>
      <c r="DW93" s="119">
        <v>164220</v>
      </c>
      <c r="DX93" s="119"/>
      <c r="DY93" s="119"/>
      <c r="DZ93" s="119"/>
      <c r="EA93" s="119"/>
      <c r="EB93" s="119"/>
      <c r="EC93" s="119"/>
      <c r="ED93" s="119"/>
      <c r="EE93" s="119"/>
      <c r="EF93" s="119"/>
      <c r="EG93" s="119"/>
      <c r="EH93" s="119"/>
      <c r="EI93" s="119"/>
      <c r="EJ93" s="119"/>
      <c r="EK93" s="119"/>
      <c r="EL93" s="119"/>
      <c r="EM93" s="119"/>
      <c r="EN93" s="119"/>
      <c r="EO93" s="119"/>
      <c r="EP93" s="119"/>
      <c r="EQ93" s="45">
        <f>MEDIAN(DP93,DQ93,DU93,DV93,DW93)</f>
        <v>189210</v>
      </c>
      <c r="ER93" s="45">
        <f>AVERAGE(DP93,DQ93,DU93,DV93,DW93)</f>
        <v>181486</v>
      </c>
      <c r="ES93" s="45">
        <f>+STDEV(DP93,DQ93,DU93,DV93,DW93)</f>
        <v>37652.329011629547</v>
      </c>
      <c r="ET93" s="46">
        <f t="shared" si="32"/>
        <v>0.20746685150165603</v>
      </c>
      <c r="EU93" s="44">
        <f t="shared" si="35"/>
        <v>159000</v>
      </c>
      <c r="EV93" s="44">
        <f t="shared" si="36"/>
        <v>30210</v>
      </c>
      <c r="EW93" s="44">
        <f t="shared" si="37"/>
        <v>189210</v>
      </c>
      <c r="EX93" s="103">
        <f t="shared" si="38"/>
        <v>2270520</v>
      </c>
      <c r="EY93" s="26" t="s">
        <v>220</v>
      </c>
    </row>
    <row r="94" spans="1:158" ht="216.4" x14ac:dyDescent="0.35">
      <c r="A94" s="27">
        <v>80</v>
      </c>
      <c r="B94" s="141" t="s">
        <v>299</v>
      </c>
      <c r="C94" s="141" t="s">
        <v>300</v>
      </c>
      <c r="D94" s="27" t="s">
        <v>17</v>
      </c>
      <c r="E94" s="26">
        <v>72</v>
      </c>
      <c r="F94" s="63"/>
      <c r="G94" s="125"/>
      <c r="H94" s="17"/>
      <c r="I94" s="18"/>
      <c r="J94" s="18"/>
      <c r="K94" s="19"/>
      <c r="L94" s="19"/>
      <c r="M94" s="19"/>
      <c r="N94" s="19"/>
      <c r="O94" s="19"/>
      <c r="P94" s="19"/>
      <c r="Q94" s="205">
        <v>107100</v>
      </c>
      <c r="R94" s="16">
        <f>+(Q94*5.1%)+Q94</f>
        <v>112562.1</v>
      </c>
      <c r="S94" s="205">
        <v>109480</v>
      </c>
      <c r="T94" s="16">
        <f>+(S94*5.1%)+S94</f>
        <v>115063.48</v>
      </c>
      <c r="U94" s="19"/>
      <c r="V94" s="19"/>
      <c r="W94" s="19"/>
      <c r="X94" s="19"/>
      <c r="Y94" s="19"/>
      <c r="Z94" s="19"/>
      <c r="AA94" s="19"/>
      <c r="AB94" s="19"/>
      <c r="AC94" s="19"/>
      <c r="AD94" s="19"/>
      <c r="AE94" s="19"/>
      <c r="AF94" s="19"/>
      <c r="AG94" s="205"/>
      <c r="AH94" s="16"/>
      <c r="AI94" s="19"/>
      <c r="AJ94" s="19"/>
      <c r="AK94" s="19"/>
      <c r="AL94" s="19"/>
      <c r="AM94" s="19"/>
      <c r="AN94" s="19"/>
      <c r="AO94" s="19"/>
      <c r="AP94" s="19"/>
      <c r="AQ94" s="19"/>
      <c r="AR94" s="19"/>
      <c r="AS94" s="19"/>
      <c r="AT94" s="19"/>
      <c r="AU94" s="19"/>
      <c r="AV94" s="19"/>
      <c r="AW94" s="19"/>
      <c r="AX94" s="19"/>
      <c r="AY94" s="19"/>
      <c r="AZ94" s="19"/>
      <c r="BA94" s="19"/>
      <c r="BB94" s="19"/>
      <c r="BC94" s="19"/>
      <c r="BD94" s="19"/>
      <c r="BE94" s="19"/>
      <c r="BF94" s="19"/>
      <c r="BG94" s="19"/>
      <c r="BH94" s="19"/>
      <c r="BI94" s="19"/>
      <c r="BJ94" s="19"/>
      <c r="BK94" s="19"/>
      <c r="BL94" s="19"/>
      <c r="BM94" s="19"/>
      <c r="BN94" s="19"/>
      <c r="BO94" s="19"/>
      <c r="BP94" s="19"/>
      <c r="BQ94" s="19"/>
      <c r="BR94" s="19"/>
      <c r="BS94" s="205">
        <v>111860</v>
      </c>
      <c r="BT94" s="16">
        <f>+(BS94*5.1%)+BS94</f>
        <v>117564.86</v>
      </c>
      <c r="BU94" s="19"/>
      <c r="BV94" s="19"/>
      <c r="BW94" s="19"/>
      <c r="BX94" s="19"/>
      <c r="BY94" s="19"/>
      <c r="BZ94" s="19"/>
      <c r="CA94" s="19"/>
      <c r="CB94" s="19"/>
      <c r="CC94" s="76"/>
      <c r="CD94" s="76"/>
      <c r="CE94" s="49"/>
      <c r="CF94" s="49"/>
      <c r="CG94" s="49"/>
      <c r="CH94" s="49"/>
      <c r="CI94" s="49"/>
      <c r="CJ94" s="49"/>
      <c r="CK94" s="49"/>
      <c r="CL94" s="49"/>
      <c r="CM94" s="49"/>
      <c r="CN94" s="49"/>
      <c r="CO94" s="49"/>
      <c r="CP94" s="49"/>
      <c r="CQ94" s="49"/>
      <c r="CR94" s="49"/>
      <c r="CS94" s="49"/>
      <c r="CT94" s="49"/>
      <c r="CU94" s="49"/>
      <c r="CV94" s="49"/>
      <c r="CW94" s="49"/>
      <c r="CX94" s="49"/>
      <c r="CY94" s="49"/>
      <c r="CZ94" s="49"/>
      <c r="DA94" s="49"/>
      <c r="DB94" s="49"/>
      <c r="DC94" s="49"/>
      <c r="DD94" s="49"/>
      <c r="DE94" s="49"/>
      <c r="DF94" s="49"/>
      <c r="DG94" s="49"/>
      <c r="DH94" s="49"/>
      <c r="DI94" s="49"/>
      <c r="DJ94" s="49"/>
      <c r="DK94" s="49"/>
      <c r="DL94" s="49"/>
      <c r="DM94" s="49"/>
      <c r="DN94" s="44"/>
      <c r="DO94" s="22"/>
      <c r="DP94" s="118"/>
      <c r="DQ94" s="23"/>
      <c r="DR94" s="23"/>
      <c r="DS94" s="118"/>
      <c r="DT94" s="118"/>
      <c r="DU94" s="118"/>
      <c r="DV94" s="148"/>
      <c r="DW94" s="84"/>
      <c r="DX94" s="84"/>
      <c r="DY94" s="84"/>
      <c r="DZ94" s="46"/>
      <c r="EA94" s="47"/>
      <c r="EB94" s="47"/>
      <c r="EC94" s="102"/>
      <c r="ED94" s="102"/>
      <c r="EE94" s="103"/>
      <c r="EF94" s="26"/>
      <c r="EG94" s="26"/>
      <c r="EH94" s="26"/>
      <c r="EI94" s="26"/>
      <c r="EJ94" s="26"/>
      <c r="EK94" s="26"/>
      <c r="EL94" s="26"/>
      <c r="EM94" s="26"/>
      <c r="EN94" s="26"/>
      <c r="EO94" s="26"/>
      <c r="EP94" s="26"/>
      <c r="EQ94" s="45">
        <f>MEDIAN(R94,T94,BT94)</f>
        <v>115063.48</v>
      </c>
      <c r="ER94" s="45">
        <f>AVERAGE(R94,T94,BT94)</f>
        <v>115063.48</v>
      </c>
      <c r="ES94" s="45">
        <f>+STDEV(R94,T94,BT94)</f>
        <v>2501.3799999999974</v>
      </c>
      <c r="ET94" s="46">
        <f t="shared" ref="ET94:ET98" si="40">ES94/ER94</f>
        <v>2.1739130434782587E-2</v>
      </c>
      <c r="EU94" s="44">
        <f t="shared" si="35"/>
        <v>96692.436974789918</v>
      </c>
      <c r="EV94" s="44">
        <f t="shared" si="36"/>
        <v>18371.563025210085</v>
      </c>
      <c r="EW94" s="44">
        <f t="shared" si="37"/>
        <v>115064</v>
      </c>
      <c r="EX94" s="103">
        <f t="shared" si="38"/>
        <v>8284608</v>
      </c>
      <c r="EY94" s="26" t="s">
        <v>219</v>
      </c>
    </row>
    <row r="95" spans="1:158" ht="216.4" x14ac:dyDescent="0.35">
      <c r="A95" s="27">
        <v>81</v>
      </c>
      <c r="B95" s="141" t="s">
        <v>301</v>
      </c>
      <c r="C95" s="141" t="s">
        <v>302</v>
      </c>
      <c r="D95" s="27" t="s">
        <v>17</v>
      </c>
      <c r="E95" s="26">
        <v>72</v>
      </c>
      <c r="F95" s="63"/>
      <c r="G95" s="125"/>
      <c r="H95" s="17"/>
      <c r="I95" s="18"/>
      <c r="J95" s="18"/>
      <c r="K95" s="19"/>
      <c r="L95" s="19"/>
      <c r="M95" s="19"/>
      <c r="N95" s="19"/>
      <c r="O95" s="19"/>
      <c r="P95" s="19"/>
      <c r="Q95" s="205">
        <v>104200</v>
      </c>
      <c r="R95" s="16">
        <f>+(Q95*5.1%)+Q95</f>
        <v>109514.2</v>
      </c>
      <c r="S95" s="205">
        <v>109480</v>
      </c>
      <c r="T95" s="16">
        <f>+(S95*5.1%)+S95</f>
        <v>115063.48</v>
      </c>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9"/>
      <c r="BB95" s="19"/>
      <c r="BC95" s="19"/>
      <c r="BD95" s="19"/>
      <c r="BE95" s="19"/>
      <c r="BF95" s="19"/>
      <c r="BG95" s="19"/>
      <c r="BH95" s="19"/>
      <c r="BI95" s="19"/>
      <c r="BJ95" s="19"/>
      <c r="BK95" s="19"/>
      <c r="BL95" s="19"/>
      <c r="BM95" s="19"/>
      <c r="BN95" s="19"/>
      <c r="BO95" s="19"/>
      <c r="BP95" s="19"/>
      <c r="BQ95" s="19"/>
      <c r="BR95" s="19"/>
      <c r="BS95" s="205">
        <v>111860</v>
      </c>
      <c r="BT95" s="16">
        <f>+(BS95*5.1%)+BS95</f>
        <v>117564.86</v>
      </c>
      <c r="BU95" s="19"/>
      <c r="BV95" s="19"/>
      <c r="BW95" s="19"/>
      <c r="BX95" s="19"/>
      <c r="BY95" s="19"/>
      <c r="BZ95" s="19"/>
      <c r="CA95" s="19"/>
      <c r="CB95" s="19"/>
      <c r="CC95" s="76"/>
      <c r="CD95" s="76"/>
      <c r="CE95" s="49"/>
      <c r="CF95" s="49"/>
      <c r="CG95" s="49"/>
      <c r="CH95" s="49"/>
      <c r="CI95" s="49"/>
      <c r="CJ95" s="49"/>
      <c r="CK95" s="49"/>
      <c r="CL95" s="49"/>
      <c r="CM95" s="49"/>
      <c r="CN95" s="49"/>
      <c r="CO95" s="49"/>
      <c r="CP95" s="49"/>
      <c r="CQ95" s="49"/>
      <c r="CR95" s="49"/>
      <c r="CS95" s="49"/>
      <c r="CT95" s="49"/>
      <c r="CU95" s="49"/>
      <c r="CV95" s="49"/>
      <c r="CW95" s="49"/>
      <c r="CX95" s="49"/>
      <c r="CY95" s="49"/>
      <c r="CZ95" s="49"/>
      <c r="DA95" s="49"/>
      <c r="DB95" s="49"/>
      <c r="DC95" s="49"/>
      <c r="DD95" s="49"/>
      <c r="DE95" s="49"/>
      <c r="DF95" s="49"/>
      <c r="DG95" s="49"/>
      <c r="DH95" s="49"/>
      <c r="DI95" s="49"/>
      <c r="DJ95" s="49"/>
      <c r="DK95" s="49"/>
      <c r="DL95" s="49"/>
      <c r="DM95" s="49"/>
      <c r="DN95" s="44"/>
      <c r="DO95" s="22"/>
      <c r="DP95" s="118"/>
      <c r="DQ95" s="23"/>
      <c r="DR95" s="23"/>
      <c r="DS95" s="23"/>
      <c r="DT95" s="118"/>
      <c r="DU95" s="118"/>
      <c r="DV95" s="118"/>
      <c r="DW95" s="119"/>
      <c r="DX95" s="119"/>
      <c r="DY95" s="119"/>
      <c r="DZ95" s="119"/>
      <c r="EA95" s="119"/>
      <c r="EB95" s="119"/>
      <c r="EC95" s="119"/>
      <c r="ED95" s="119"/>
      <c r="EE95" s="119"/>
      <c r="EF95" s="119"/>
      <c r="EG95" s="119"/>
      <c r="EH95" s="119"/>
      <c r="EI95" s="119"/>
      <c r="EJ95" s="119"/>
      <c r="EK95" s="119"/>
      <c r="EL95" s="119"/>
      <c r="EM95" s="119"/>
      <c r="EN95" s="119"/>
      <c r="EO95" s="119"/>
      <c r="EP95" s="119"/>
      <c r="EQ95" s="45">
        <f>MEDIAN(R95,T95,BT95)</f>
        <v>115063.48</v>
      </c>
      <c r="ER95" s="45">
        <f>AVERAGE(R95,T95,BT95)</f>
        <v>114047.51333333332</v>
      </c>
      <c r="ES95" s="45">
        <f>+STDEV(R95,T95,BT95)</f>
        <v>4120.3668295108564</v>
      </c>
      <c r="ET95" s="46">
        <f t="shared" si="40"/>
        <v>3.6128510908151237E-2</v>
      </c>
      <c r="EU95" s="44">
        <f t="shared" si="35"/>
        <v>95838.655462184877</v>
      </c>
      <c r="EV95" s="44">
        <f t="shared" si="36"/>
        <v>18209.344537815126</v>
      </c>
      <c r="EW95" s="44">
        <f t="shared" si="37"/>
        <v>114048</v>
      </c>
      <c r="EX95" s="103">
        <f t="shared" si="38"/>
        <v>8211456</v>
      </c>
      <c r="EY95" s="26" t="s">
        <v>219</v>
      </c>
    </row>
    <row r="96" spans="1:158" ht="216.4" x14ac:dyDescent="0.35">
      <c r="A96" s="27">
        <v>82</v>
      </c>
      <c r="B96" s="141" t="s">
        <v>303</v>
      </c>
      <c r="C96" s="141" t="s">
        <v>304</v>
      </c>
      <c r="D96" s="27" t="s">
        <v>17</v>
      </c>
      <c r="E96" s="26">
        <v>72</v>
      </c>
      <c r="F96" s="63"/>
      <c r="G96" s="125"/>
      <c r="H96" s="17"/>
      <c r="I96" s="18"/>
      <c r="J96" s="18"/>
      <c r="K96" s="19"/>
      <c r="L96" s="19"/>
      <c r="M96" s="19"/>
      <c r="N96" s="19"/>
      <c r="O96" s="19"/>
      <c r="P96" s="19"/>
      <c r="Q96" s="205">
        <v>104201</v>
      </c>
      <c r="R96" s="16">
        <f>+(Q96*5.1%)+Q96</f>
        <v>109515.251</v>
      </c>
      <c r="S96" s="205">
        <v>109480</v>
      </c>
      <c r="T96" s="16">
        <f>+(S96*5.1%)+S96</f>
        <v>115063.48</v>
      </c>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c r="BA96" s="19"/>
      <c r="BB96" s="19"/>
      <c r="BC96" s="19"/>
      <c r="BD96" s="19"/>
      <c r="BE96" s="19"/>
      <c r="BF96" s="19"/>
      <c r="BG96" s="19"/>
      <c r="BH96" s="19"/>
      <c r="BI96" s="19"/>
      <c r="BJ96" s="19"/>
      <c r="BK96" s="19"/>
      <c r="BL96" s="19"/>
      <c r="BM96" s="19"/>
      <c r="BN96" s="19"/>
      <c r="BO96" s="19"/>
      <c r="BP96" s="19"/>
      <c r="BQ96" s="19"/>
      <c r="BR96" s="19"/>
      <c r="BS96" s="205">
        <v>111860</v>
      </c>
      <c r="BT96" s="16">
        <f>+(BS96*5.1%)+BS96</f>
        <v>117564.86</v>
      </c>
      <c r="BU96" s="19"/>
      <c r="BV96" s="19"/>
      <c r="BW96" s="19"/>
      <c r="BX96" s="19"/>
      <c r="BY96" s="19"/>
      <c r="BZ96" s="19"/>
      <c r="CA96" s="19"/>
      <c r="CB96" s="19"/>
      <c r="CC96" s="76"/>
      <c r="CD96" s="76"/>
      <c r="CE96" s="49"/>
      <c r="CF96" s="49"/>
      <c r="CG96" s="49"/>
      <c r="CH96" s="49"/>
      <c r="CI96" s="49"/>
      <c r="CJ96" s="49"/>
      <c r="CK96" s="49"/>
      <c r="CL96" s="49"/>
      <c r="CM96" s="49"/>
      <c r="CN96" s="49"/>
      <c r="CO96" s="49"/>
      <c r="CP96" s="49"/>
      <c r="CQ96" s="49"/>
      <c r="CR96" s="49"/>
      <c r="CS96" s="49"/>
      <c r="CT96" s="49"/>
      <c r="CU96" s="49"/>
      <c r="CV96" s="49"/>
      <c r="CW96" s="49"/>
      <c r="CX96" s="49"/>
      <c r="CY96" s="49"/>
      <c r="CZ96" s="49"/>
      <c r="DA96" s="49"/>
      <c r="DB96" s="49"/>
      <c r="DC96" s="49"/>
      <c r="DD96" s="49"/>
      <c r="DE96" s="49"/>
      <c r="DF96" s="49"/>
      <c r="DG96" s="49"/>
      <c r="DH96" s="49"/>
      <c r="DI96" s="49"/>
      <c r="DJ96" s="49"/>
      <c r="DK96" s="49"/>
      <c r="DL96" s="49"/>
      <c r="DM96" s="49"/>
      <c r="DN96" s="44"/>
      <c r="DO96" s="22"/>
      <c r="DP96" s="118"/>
      <c r="DQ96" s="23"/>
      <c r="DR96" s="23"/>
      <c r="DS96" s="23"/>
      <c r="DT96" s="118"/>
      <c r="DU96" s="118"/>
      <c r="DV96" s="118"/>
      <c r="DW96" s="119"/>
      <c r="DX96" s="119"/>
      <c r="DY96" s="119"/>
      <c r="DZ96" s="119"/>
      <c r="EA96" s="119"/>
      <c r="EB96" s="119"/>
      <c r="EC96" s="119"/>
      <c r="ED96" s="119"/>
      <c r="EE96" s="119"/>
      <c r="EF96" s="119"/>
      <c r="EG96" s="119"/>
      <c r="EH96" s="119"/>
      <c r="EI96" s="119"/>
      <c r="EJ96" s="119"/>
      <c r="EK96" s="119"/>
      <c r="EL96" s="119"/>
      <c r="EM96" s="119"/>
      <c r="EN96" s="119"/>
      <c r="EO96" s="119"/>
      <c r="EP96" s="119"/>
      <c r="EQ96" s="45">
        <f>MEDIAN(R96,T96,BT96)</f>
        <v>115063.48</v>
      </c>
      <c r="ER96" s="45">
        <f>AVERAGE(R96,T96,BT96)</f>
        <v>114047.86366666667</v>
      </c>
      <c r="ES96" s="45">
        <f>+STDEV(R96,T96,BT96)</f>
        <v>4119.7886675921027</v>
      </c>
      <c r="ET96" s="46">
        <f t="shared" si="40"/>
        <v>3.612333046091256E-2</v>
      </c>
      <c r="EU96" s="44">
        <f t="shared" si="35"/>
        <v>95838.655462184877</v>
      </c>
      <c r="EV96" s="44">
        <f t="shared" si="36"/>
        <v>18209.344537815126</v>
      </c>
      <c r="EW96" s="44">
        <f t="shared" si="37"/>
        <v>114048</v>
      </c>
      <c r="EX96" s="103">
        <f t="shared" si="38"/>
        <v>8211456</v>
      </c>
      <c r="EY96" s="26" t="s">
        <v>219</v>
      </c>
    </row>
    <row r="97" spans="1:158" ht="216.4" x14ac:dyDescent="0.35">
      <c r="A97" s="27">
        <v>83</v>
      </c>
      <c r="B97" s="141" t="s">
        <v>305</v>
      </c>
      <c r="C97" s="141" t="s">
        <v>306</v>
      </c>
      <c r="D97" s="27" t="s">
        <v>17</v>
      </c>
      <c r="E97" s="26">
        <v>72</v>
      </c>
      <c r="F97" s="63"/>
      <c r="G97" s="125"/>
      <c r="H97" s="17"/>
      <c r="I97" s="18"/>
      <c r="J97" s="18"/>
      <c r="K97" s="19"/>
      <c r="L97" s="19"/>
      <c r="M97" s="19"/>
      <c r="N97" s="19"/>
      <c r="O97" s="19"/>
      <c r="P97" s="19"/>
      <c r="Q97" s="205">
        <v>109480</v>
      </c>
      <c r="R97" s="16">
        <f>+(Q97*5.1%)+Q97</f>
        <v>115063.48</v>
      </c>
      <c r="S97" s="205">
        <v>119000</v>
      </c>
      <c r="T97" s="16">
        <f>+(S97*5.1%)+S97</f>
        <v>125069</v>
      </c>
      <c r="U97" s="19"/>
      <c r="V97" s="19"/>
      <c r="W97" s="19"/>
      <c r="X97" s="19"/>
      <c r="Y97" s="19"/>
      <c r="Z97" s="19"/>
      <c r="AA97" s="19"/>
      <c r="AB97" s="19"/>
      <c r="AC97" s="19"/>
      <c r="AD97" s="19"/>
      <c r="AE97" s="19"/>
      <c r="AF97" s="19"/>
      <c r="AG97" s="205"/>
      <c r="AH97" s="16"/>
      <c r="AI97" s="19"/>
      <c r="AJ97" s="19"/>
      <c r="AK97" s="19"/>
      <c r="AL97" s="19"/>
      <c r="AM97" s="19"/>
      <c r="AN97" s="19"/>
      <c r="AO97" s="19"/>
      <c r="AP97" s="19"/>
      <c r="AQ97" s="19"/>
      <c r="AR97" s="19"/>
      <c r="AS97" s="19"/>
      <c r="AT97" s="19"/>
      <c r="AU97" s="19"/>
      <c r="AV97" s="19"/>
      <c r="AW97" s="19"/>
      <c r="AX97" s="19"/>
      <c r="AY97" s="19"/>
      <c r="AZ97" s="19"/>
      <c r="BA97" s="19"/>
      <c r="BB97" s="19"/>
      <c r="BC97" s="19"/>
      <c r="BD97" s="19"/>
      <c r="BE97" s="19"/>
      <c r="BF97" s="19"/>
      <c r="BG97" s="19"/>
      <c r="BH97" s="19"/>
      <c r="BI97" s="19"/>
      <c r="BJ97" s="19"/>
      <c r="BK97" s="19"/>
      <c r="BL97" s="19"/>
      <c r="BM97" s="19"/>
      <c r="BN97" s="19"/>
      <c r="BO97" s="19"/>
      <c r="BP97" s="19"/>
      <c r="BQ97" s="19"/>
      <c r="BR97" s="19"/>
      <c r="BS97" s="205">
        <v>111860</v>
      </c>
      <c r="BT97" s="16">
        <f>+(BS97*5.1%)+BS97</f>
        <v>117564.86</v>
      </c>
      <c r="BU97" s="19"/>
      <c r="BV97" s="19"/>
      <c r="BW97" s="19"/>
      <c r="BX97" s="19"/>
      <c r="BY97" s="19"/>
      <c r="BZ97" s="19"/>
      <c r="CA97" s="19"/>
      <c r="CB97" s="19"/>
      <c r="CC97" s="76"/>
      <c r="CD97" s="76"/>
      <c r="CE97" s="49"/>
      <c r="CF97" s="49"/>
      <c r="CG97" s="49"/>
      <c r="CH97" s="49"/>
      <c r="CI97" s="49"/>
      <c r="CJ97" s="49"/>
      <c r="CK97" s="49"/>
      <c r="CL97" s="49"/>
      <c r="CM97" s="49"/>
      <c r="CN97" s="49"/>
      <c r="CO97" s="49"/>
      <c r="CP97" s="49"/>
      <c r="CQ97" s="49"/>
      <c r="CR97" s="49"/>
      <c r="CS97" s="49"/>
      <c r="CT97" s="49"/>
      <c r="CU97" s="49"/>
      <c r="CV97" s="49"/>
      <c r="CW97" s="49"/>
      <c r="CX97" s="49"/>
      <c r="CY97" s="49"/>
      <c r="CZ97" s="49"/>
      <c r="DA97" s="49"/>
      <c r="DB97" s="49"/>
      <c r="DC97" s="49"/>
      <c r="DD97" s="49"/>
      <c r="DE97" s="49"/>
      <c r="DF97" s="49"/>
      <c r="DG97" s="49"/>
      <c r="DH97" s="49"/>
      <c r="DI97" s="49"/>
      <c r="DJ97" s="49"/>
      <c r="DK97" s="49"/>
      <c r="DL97" s="49"/>
      <c r="DM97" s="49"/>
      <c r="DN97" s="44"/>
      <c r="DO97" s="22"/>
      <c r="DP97" s="118"/>
      <c r="DQ97" s="23"/>
      <c r="DR97" s="23"/>
      <c r="DS97" s="23"/>
      <c r="DT97" s="118"/>
      <c r="DU97" s="118"/>
      <c r="DV97" s="118"/>
      <c r="DW97" s="119"/>
      <c r="DX97" s="119"/>
      <c r="DY97" s="119"/>
      <c r="DZ97" s="119"/>
      <c r="EA97" s="119"/>
      <c r="EB97" s="119"/>
      <c r="EC97" s="119"/>
      <c r="ED97" s="119"/>
      <c r="EE97" s="119"/>
      <c r="EF97" s="119"/>
      <c r="EG97" s="119"/>
      <c r="EH97" s="119"/>
      <c r="EI97" s="119"/>
      <c r="EJ97" s="119"/>
      <c r="EK97" s="119"/>
      <c r="EL97" s="119"/>
      <c r="EM97" s="119"/>
      <c r="EN97" s="119"/>
      <c r="EO97" s="119"/>
      <c r="EP97" s="119"/>
      <c r="EQ97" s="45">
        <f>MEDIAN(R97,T97,BT97)</f>
        <v>117564.86</v>
      </c>
      <c r="ER97" s="45">
        <f>AVERAGE(R97,T97,BT97)</f>
        <v>119232.44666666666</v>
      </c>
      <c r="ES97" s="45">
        <f>+STDEV(R97,T97,BT97)</f>
        <v>5207.0376977445967</v>
      </c>
      <c r="ET97" s="46">
        <f t="shared" si="40"/>
        <v>4.367131467411469E-2</v>
      </c>
      <c r="EU97" s="44">
        <f t="shared" si="35"/>
        <v>100195.79831932773</v>
      </c>
      <c r="EV97" s="44">
        <f t="shared" si="36"/>
        <v>19037.201680672268</v>
      </c>
      <c r="EW97" s="44">
        <f t="shared" si="37"/>
        <v>119233</v>
      </c>
      <c r="EX97" s="103">
        <f t="shared" si="38"/>
        <v>8584776</v>
      </c>
      <c r="EY97" s="26" t="s">
        <v>219</v>
      </c>
    </row>
    <row r="98" spans="1:158" ht="202.9" x14ac:dyDescent="0.35">
      <c r="A98" s="27">
        <v>84</v>
      </c>
      <c r="B98" s="141" t="s">
        <v>307</v>
      </c>
      <c r="C98" s="141" t="s">
        <v>308</v>
      </c>
      <c r="D98" s="27" t="s">
        <v>17</v>
      </c>
      <c r="E98" s="26">
        <v>72</v>
      </c>
      <c r="F98" s="63"/>
      <c r="G98" s="125"/>
      <c r="H98" s="17"/>
      <c r="I98" s="18"/>
      <c r="J98" s="18"/>
      <c r="K98" s="19"/>
      <c r="L98" s="19"/>
      <c r="M98" s="19"/>
      <c r="N98" s="19"/>
      <c r="O98" s="19"/>
      <c r="P98" s="19"/>
      <c r="Q98" s="205">
        <v>109480</v>
      </c>
      <c r="R98" s="16">
        <f>+(Q98*5.1%)+Q98</f>
        <v>115063.48</v>
      </c>
      <c r="S98" s="205">
        <v>119001</v>
      </c>
      <c r="T98" s="16">
        <f>+(S98*5.1%)+S98</f>
        <v>125070.05100000001</v>
      </c>
      <c r="U98" s="19"/>
      <c r="V98" s="19"/>
      <c r="W98" s="19"/>
      <c r="X98" s="19"/>
      <c r="Y98" s="19"/>
      <c r="Z98" s="19"/>
      <c r="AA98" s="19"/>
      <c r="AB98" s="19"/>
      <c r="AC98" s="19"/>
      <c r="AD98" s="19"/>
      <c r="AE98" s="19"/>
      <c r="AF98" s="19"/>
      <c r="AG98" s="205"/>
      <c r="AH98" s="16"/>
      <c r="AI98" s="19"/>
      <c r="AJ98" s="19"/>
      <c r="AK98" s="19"/>
      <c r="AL98" s="19"/>
      <c r="AM98" s="19"/>
      <c r="AN98" s="19"/>
      <c r="AO98" s="19"/>
      <c r="AP98" s="19"/>
      <c r="AQ98" s="19"/>
      <c r="AR98" s="19"/>
      <c r="AS98" s="19"/>
      <c r="AT98" s="19"/>
      <c r="AU98" s="19"/>
      <c r="AV98" s="19"/>
      <c r="AW98" s="19"/>
      <c r="AX98" s="19"/>
      <c r="AY98" s="19"/>
      <c r="AZ98" s="19"/>
      <c r="BA98" s="19"/>
      <c r="BB98" s="19"/>
      <c r="BC98" s="19"/>
      <c r="BD98" s="19"/>
      <c r="BE98" s="19"/>
      <c r="BF98" s="19"/>
      <c r="BG98" s="19"/>
      <c r="BH98" s="19"/>
      <c r="BI98" s="19"/>
      <c r="BJ98" s="19"/>
      <c r="BK98" s="19"/>
      <c r="BL98" s="19"/>
      <c r="BM98" s="19"/>
      <c r="BN98" s="19"/>
      <c r="BO98" s="19"/>
      <c r="BP98" s="19"/>
      <c r="BQ98" s="19"/>
      <c r="BR98" s="19"/>
      <c r="BS98" s="205">
        <v>111861</v>
      </c>
      <c r="BT98" s="16">
        <f>+(BS98*5.1%)+BS98</f>
        <v>117565.91099999999</v>
      </c>
      <c r="BU98" s="19"/>
      <c r="BV98" s="19"/>
      <c r="BW98" s="19"/>
      <c r="BX98" s="19"/>
      <c r="BY98" s="19"/>
      <c r="BZ98" s="19"/>
      <c r="CA98" s="19"/>
      <c r="CB98" s="19"/>
      <c r="CC98" s="19"/>
      <c r="CD98" s="19"/>
      <c r="CE98" s="19"/>
      <c r="CF98" s="19"/>
      <c r="CG98" s="76"/>
      <c r="CH98" s="76"/>
      <c r="CI98" s="76"/>
      <c r="CJ98" s="49"/>
      <c r="CK98" s="49"/>
      <c r="CL98" s="49"/>
      <c r="CM98" s="49"/>
      <c r="CN98" s="49"/>
      <c r="CO98" s="49"/>
      <c r="CP98" s="49"/>
      <c r="CQ98" s="49"/>
      <c r="CR98" s="49"/>
      <c r="CS98" s="49"/>
      <c r="CT98" s="49"/>
      <c r="CU98" s="49"/>
      <c r="CV98" s="49"/>
      <c r="CW98" s="49"/>
      <c r="CX98" s="49"/>
      <c r="CY98" s="49"/>
      <c r="CZ98" s="49"/>
      <c r="DA98" s="49"/>
      <c r="DB98" s="49"/>
      <c r="DC98" s="49"/>
      <c r="DD98" s="49"/>
      <c r="DE98" s="49"/>
      <c r="DF98" s="49"/>
      <c r="DG98" s="49"/>
      <c r="DH98" s="49"/>
      <c r="DI98" s="49"/>
      <c r="DJ98" s="49"/>
      <c r="DK98" s="49"/>
      <c r="DL98" s="49"/>
      <c r="DM98" s="49"/>
      <c r="DN98" s="44"/>
      <c r="DO98" s="22"/>
      <c r="DP98" s="118"/>
      <c r="DQ98" s="23"/>
      <c r="DR98" s="23"/>
      <c r="DS98" s="23"/>
      <c r="DT98" s="118"/>
      <c r="DU98" s="118"/>
      <c r="DV98" s="118"/>
      <c r="DW98" s="119"/>
      <c r="DX98" s="119"/>
      <c r="DY98" s="119"/>
      <c r="DZ98" s="119"/>
      <c r="EA98" s="119"/>
      <c r="EB98" s="119"/>
      <c r="EC98" s="119"/>
      <c r="ED98" s="119"/>
      <c r="EE98" s="119"/>
      <c r="EF98" s="119"/>
      <c r="EG98" s="119"/>
      <c r="EH98" s="119"/>
      <c r="EI98" s="119"/>
      <c r="EJ98" s="119"/>
      <c r="EK98" s="119"/>
      <c r="EL98" s="119"/>
      <c r="EM98" s="119"/>
      <c r="EN98" s="119"/>
      <c r="EO98" s="119"/>
      <c r="EP98" s="119"/>
      <c r="EQ98" s="45">
        <f>MEDIAN(R98,T98,BT98)</f>
        <v>117565.91099999999</v>
      </c>
      <c r="ER98" s="45">
        <f>AVERAGE(R98,T98,BT98)</f>
        <v>119233.14733333334</v>
      </c>
      <c r="ES98" s="45">
        <f>+STDEV(R98,T98,BT98)</f>
        <v>5207.4584528251789</v>
      </c>
      <c r="ET98" s="46">
        <f t="shared" si="40"/>
        <v>4.367458688536488E-2</v>
      </c>
      <c r="EU98" s="44">
        <f t="shared" si="35"/>
        <v>100196.63865546219</v>
      </c>
      <c r="EV98" s="44">
        <f t="shared" si="36"/>
        <v>19037.361344537814</v>
      </c>
      <c r="EW98" s="44">
        <f t="shared" si="37"/>
        <v>119234</v>
      </c>
      <c r="EX98" s="103">
        <f t="shared" si="38"/>
        <v>8584848</v>
      </c>
      <c r="EY98" s="26" t="s">
        <v>219</v>
      </c>
    </row>
    <row r="99" spans="1:158" ht="39" customHeight="1" x14ac:dyDescent="0.35">
      <c r="A99" s="27">
        <v>85</v>
      </c>
      <c r="B99" s="64" t="s">
        <v>61</v>
      </c>
      <c r="C99" s="64" t="s">
        <v>57</v>
      </c>
      <c r="D99" s="26" t="s">
        <v>375</v>
      </c>
      <c r="E99" s="26">
        <v>32</v>
      </c>
      <c r="F99" s="63"/>
      <c r="G99" s="125"/>
      <c r="H99" s="17"/>
      <c r="I99" s="18"/>
      <c r="J99" s="18"/>
      <c r="K99" s="19"/>
      <c r="L99" s="19"/>
      <c r="M99" s="19"/>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19"/>
      <c r="BU99" s="19"/>
      <c r="BV99" s="19"/>
      <c r="BW99" s="19"/>
      <c r="BX99" s="19"/>
      <c r="BY99" s="19"/>
      <c r="BZ99" s="19"/>
      <c r="CA99" s="19"/>
      <c r="CB99" s="19"/>
      <c r="CC99" s="19"/>
      <c r="CD99" s="19"/>
      <c r="CE99" s="19"/>
      <c r="CF99" s="19"/>
      <c r="CG99" s="19"/>
      <c r="CH99" s="19"/>
      <c r="CI99" s="19"/>
      <c r="CJ99" s="19"/>
      <c r="CK99" s="19"/>
      <c r="CL99" s="19"/>
      <c r="CM99" s="19"/>
      <c r="CN99" s="19"/>
      <c r="CO99" s="19"/>
      <c r="CP99" s="19"/>
      <c r="CQ99" s="19"/>
      <c r="CR99" s="19"/>
      <c r="CS99" s="19"/>
      <c r="CT99" s="19"/>
      <c r="CU99" s="19"/>
      <c r="CV99" s="19"/>
      <c r="CW99" s="19"/>
      <c r="CX99" s="19"/>
      <c r="CY99" s="19"/>
      <c r="CZ99" s="19"/>
      <c r="DA99" s="19"/>
      <c r="DB99" s="19"/>
      <c r="DC99" s="19"/>
      <c r="DD99" s="19"/>
      <c r="DE99" s="19"/>
      <c r="DF99" s="19"/>
      <c r="DG99" s="19"/>
      <c r="DH99" s="19"/>
      <c r="DI99" s="19"/>
      <c r="DJ99" s="19"/>
      <c r="DK99" s="19"/>
      <c r="DL99" s="19"/>
      <c r="DM99" s="19"/>
      <c r="DN99" s="44">
        <v>202300</v>
      </c>
      <c r="DO99" s="22">
        <v>136000</v>
      </c>
      <c r="DP99" s="23">
        <v>178500</v>
      </c>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45">
        <f>MEDIAN(DN99,DO99,DP99)</f>
        <v>178500</v>
      </c>
      <c r="ER99" s="45">
        <f>AVERAGE(DN99,DO99,DP99)</f>
        <v>172266.66666666666</v>
      </c>
      <c r="ES99" s="45">
        <f>+STDEV(DN99,DO99,DP99)</f>
        <v>33586.654095538244</v>
      </c>
      <c r="ET99" s="46">
        <f t="shared" si="32"/>
        <v>0.19496896727286134</v>
      </c>
      <c r="EU99" s="44">
        <f t="shared" si="35"/>
        <v>150000</v>
      </c>
      <c r="EV99" s="44">
        <f t="shared" si="36"/>
        <v>28500</v>
      </c>
      <c r="EW99" s="44">
        <f t="shared" si="37"/>
        <v>178500</v>
      </c>
      <c r="EX99" s="103">
        <f t="shared" si="38"/>
        <v>5712000</v>
      </c>
      <c r="EY99" s="26" t="s">
        <v>219</v>
      </c>
    </row>
    <row r="100" spans="1:158" ht="27" x14ac:dyDescent="0.35">
      <c r="A100" s="27">
        <v>86</v>
      </c>
      <c r="B100" s="64" t="s">
        <v>62</v>
      </c>
      <c r="C100" s="64" t="s">
        <v>58</v>
      </c>
      <c r="D100" s="26" t="s">
        <v>160</v>
      </c>
      <c r="E100" s="26">
        <v>16</v>
      </c>
      <c r="F100" s="63"/>
      <c r="G100" s="125"/>
      <c r="H100" s="17"/>
      <c r="I100" s="18"/>
      <c r="J100" s="18"/>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c r="AR100" s="19"/>
      <c r="AS100" s="19"/>
      <c r="AT100" s="19"/>
      <c r="AU100" s="19"/>
      <c r="AV100" s="19"/>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19"/>
      <c r="BU100" s="19"/>
      <c r="BV100" s="19"/>
      <c r="BW100" s="19"/>
      <c r="BX100" s="19"/>
      <c r="BY100" s="19"/>
      <c r="BZ100" s="19"/>
      <c r="CA100" s="19"/>
      <c r="CB100" s="19"/>
      <c r="CC100" s="19"/>
      <c r="CD100" s="19"/>
      <c r="CE100" s="19"/>
      <c r="CF100" s="19"/>
      <c r="CG100" s="19"/>
      <c r="CH100" s="19"/>
      <c r="CI100" s="19"/>
      <c r="CJ100" s="19"/>
      <c r="CK100" s="19"/>
      <c r="CL100" s="19"/>
      <c r="CM100" s="19"/>
      <c r="CN100" s="19"/>
      <c r="CO100" s="19"/>
      <c r="CP100" s="19"/>
      <c r="CQ100" s="19"/>
      <c r="CR100" s="19"/>
      <c r="CS100" s="19"/>
      <c r="CT100" s="19"/>
      <c r="CU100" s="19"/>
      <c r="CV100" s="19"/>
      <c r="CW100" s="19"/>
      <c r="CX100" s="19"/>
      <c r="CY100" s="19"/>
      <c r="CZ100" s="19"/>
      <c r="DA100" s="19"/>
      <c r="DB100" s="19"/>
      <c r="DC100" s="19"/>
      <c r="DD100" s="19"/>
      <c r="DE100" s="19"/>
      <c r="DF100" s="19"/>
      <c r="DG100" s="19"/>
      <c r="DH100" s="19"/>
      <c r="DI100" s="19"/>
      <c r="DJ100" s="19"/>
      <c r="DK100" s="19"/>
      <c r="DL100" s="19"/>
      <c r="DM100" s="19"/>
      <c r="DN100" s="44">
        <v>202300</v>
      </c>
      <c r="DO100" s="22"/>
      <c r="DP100" s="23">
        <v>178500</v>
      </c>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45">
        <f>MEDIAN(DN100,DP100)</f>
        <v>190400</v>
      </c>
      <c r="ER100" s="45">
        <f>AVERAGE(DN100,DP100)</f>
        <v>190400</v>
      </c>
      <c r="ES100" s="45">
        <f>+STDEV(DN100,DP100)</f>
        <v>16829.141392239831</v>
      </c>
      <c r="ET100" s="46">
        <f t="shared" si="32"/>
        <v>8.8388347648318447E-2</v>
      </c>
      <c r="EU100" s="44">
        <f t="shared" si="35"/>
        <v>160000</v>
      </c>
      <c r="EV100" s="44">
        <f t="shared" si="36"/>
        <v>30400</v>
      </c>
      <c r="EW100" s="44">
        <f t="shared" si="37"/>
        <v>190400</v>
      </c>
      <c r="EX100" s="103">
        <f t="shared" si="38"/>
        <v>3046400</v>
      </c>
      <c r="EY100" s="26" t="s">
        <v>109</v>
      </c>
    </row>
    <row r="101" spans="1:158" ht="27" x14ac:dyDescent="0.35">
      <c r="A101" s="27">
        <v>87</v>
      </c>
      <c r="B101" s="64" t="s">
        <v>63</v>
      </c>
      <c r="C101" s="64" t="s">
        <v>59</v>
      </c>
      <c r="D101" s="26" t="s">
        <v>160</v>
      </c>
      <c r="E101" s="26">
        <v>32</v>
      </c>
      <c r="F101" s="63"/>
      <c r="G101" s="125"/>
      <c r="H101" s="17"/>
      <c r="I101" s="18"/>
      <c r="J101" s="18"/>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c r="AO101" s="19"/>
      <c r="AP101" s="19"/>
      <c r="AQ101" s="19"/>
      <c r="AR101" s="19"/>
      <c r="AS101" s="19"/>
      <c r="AT101" s="19"/>
      <c r="AU101" s="19"/>
      <c r="AV101" s="19"/>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19"/>
      <c r="BU101" s="19"/>
      <c r="BV101" s="19"/>
      <c r="BW101" s="19"/>
      <c r="BX101" s="19"/>
      <c r="BY101" s="19"/>
      <c r="BZ101" s="19"/>
      <c r="CA101" s="19"/>
      <c r="CB101" s="19"/>
      <c r="CC101" s="19"/>
      <c r="CD101" s="19"/>
      <c r="CE101" s="19"/>
      <c r="CF101" s="19"/>
      <c r="CG101" s="19"/>
      <c r="CH101" s="19"/>
      <c r="CI101" s="19"/>
      <c r="CJ101" s="19"/>
      <c r="CK101" s="19"/>
      <c r="CL101" s="19"/>
      <c r="CM101" s="19"/>
      <c r="CN101" s="19"/>
      <c r="CO101" s="19"/>
      <c r="CP101" s="19"/>
      <c r="CQ101" s="19"/>
      <c r="CR101" s="19"/>
      <c r="CS101" s="19"/>
      <c r="CT101" s="19"/>
      <c r="CU101" s="19"/>
      <c r="CV101" s="19"/>
      <c r="CW101" s="19"/>
      <c r="CX101" s="19"/>
      <c r="CY101" s="19"/>
      <c r="CZ101" s="19"/>
      <c r="DA101" s="19"/>
      <c r="DB101" s="19"/>
      <c r="DC101" s="19"/>
      <c r="DD101" s="19"/>
      <c r="DE101" s="19"/>
      <c r="DF101" s="19"/>
      <c r="DG101" s="19"/>
      <c r="DH101" s="19"/>
      <c r="DI101" s="19"/>
      <c r="DJ101" s="19"/>
      <c r="DK101" s="19"/>
      <c r="DL101" s="19"/>
      <c r="DM101" s="19"/>
      <c r="DN101" s="44">
        <v>226100</v>
      </c>
      <c r="DO101" s="22"/>
      <c r="DP101" s="23">
        <v>207060</v>
      </c>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45">
        <f>MEDIAN(DN101,DP101)</f>
        <v>216580</v>
      </c>
      <c r="ER101" s="45">
        <f>AVERAGE(DN101,DP101)</f>
        <v>216580</v>
      </c>
      <c r="ES101" s="45">
        <f>+STDEV(DN101,DP101)</f>
        <v>13463.313113791864</v>
      </c>
      <c r="ET101" s="46">
        <f t="shared" si="32"/>
        <v>6.2163233510905275E-2</v>
      </c>
      <c r="EU101" s="44">
        <f t="shared" si="35"/>
        <v>182000</v>
      </c>
      <c r="EV101" s="44">
        <f t="shared" si="36"/>
        <v>34580</v>
      </c>
      <c r="EW101" s="44">
        <f t="shared" si="37"/>
        <v>216580</v>
      </c>
      <c r="EX101" s="103">
        <f t="shared" si="38"/>
        <v>6930560</v>
      </c>
      <c r="EY101" s="26" t="s">
        <v>109</v>
      </c>
    </row>
    <row r="102" spans="1:158" ht="79.5" customHeight="1" x14ac:dyDescent="0.35">
      <c r="A102" s="27">
        <v>88</v>
      </c>
      <c r="B102" s="143" t="s">
        <v>60</v>
      </c>
      <c r="C102" s="146" t="s">
        <v>254</v>
      </c>
      <c r="D102" s="26" t="s">
        <v>252</v>
      </c>
      <c r="E102" s="26">
        <v>1</v>
      </c>
      <c r="F102" s="63"/>
      <c r="G102" s="125"/>
      <c r="H102" s="17"/>
      <c r="I102" s="18"/>
      <c r="J102" s="18"/>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c r="AR102" s="19"/>
      <c r="AS102" s="19"/>
      <c r="AT102" s="19"/>
      <c r="AU102" s="19"/>
      <c r="AV102" s="19"/>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19"/>
      <c r="BU102" s="19"/>
      <c r="BV102" s="19"/>
      <c r="BW102" s="19"/>
      <c r="BX102" s="19"/>
      <c r="BY102" s="19"/>
      <c r="BZ102" s="48">
        <v>60000</v>
      </c>
      <c r="CA102" s="48"/>
      <c r="CB102" s="48">
        <v>75000</v>
      </c>
      <c r="CC102" s="19"/>
      <c r="CD102" s="19"/>
      <c r="CE102" s="19"/>
      <c r="CF102" s="19"/>
      <c r="CG102" s="19"/>
      <c r="CH102" s="19"/>
      <c r="CI102" s="19"/>
      <c r="CJ102" s="19"/>
      <c r="CK102" s="19"/>
      <c r="CL102" s="19"/>
      <c r="CM102" s="19"/>
      <c r="CN102" s="19"/>
      <c r="CO102" s="19"/>
      <c r="CP102" s="19"/>
      <c r="CQ102" s="19"/>
      <c r="CR102" s="19"/>
      <c r="CS102" s="19"/>
      <c r="CT102" s="19"/>
      <c r="CU102" s="19"/>
      <c r="CV102" s="19"/>
      <c r="CW102" s="19"/>
      <c r="CX102" s="19"/>
      <c r="CY102" s="19"/>
      <c r="CZ102" s="19"/>
      <c r="DA102" s="19"/>
      <c r="DB102" s="19"/>
      <c r="DC102" s="19"/>
      <c r="DD102" s="19"/>
      <c r="DE102" s="19"/>
      <c r="DF102" s="19"/>
      <c r="DG102" s="19"/>
      <c r="DH102" s="19"/>
      <c r="DI102" s="19"/>
      <c r="DJ102" s="19"/>
      <c r="DK102" s="19"/>
      <c r="DL102" s="19"/>
      <c r="DM102" s="19"/>
      <c r="DN102" s="44"/>
      <c r="DO102" s="22"/>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45">
        <f>MEDIAN(BZ102,CA102,CB102)</f>
        <v>67500</v>
      </c>
      <c r="ER102" s="45">
        <f>AVERAGE(BZ102,CA102,CB102)</f>
        <v>67500</v>
      </c>
      <c r="ES102" s="45">
        <f>+STDEV(BZ102,CA102,CB102)</f>
        <v>10606.601717798212</v>
      </c>
      <c r="ET102" s="46">
        <f t="shared" si="32"/>
        <v>0.15713484026367722</v>
      </c>
      <c r="EU102" s="44">
        <f t="shared" si="35"/>
        <v>56722.689075630253</v>
      </c>
      <c r="EV102" s="44">
        <f t="shared" si="36"/>
        <v>10777.310924369749</v>
      </c>
      <c r="EW102" s="44">
        <f t="shared" si="37"/>
        <v>67500</v>
      </c>
      <c r="EX102" s="103">
        <f t="shared" si="38"/>
        <v>67500</v>
      </c>
      <c r="EY102" s="26" t="s">
        <v>220</v>
      </c>
    </row>
    <row r="103" spans="1:158" ht="94.5" x14ac:dyDescent="0.35">
      <c r="A103" s="27">
        <v>89</v>
      </c>
      <c r="B103" s="141" t="s">
        <v>170</v>
      </c>
      <c r="C103" s="143" t="s">
        <v>391</v>
      </c>
      <c r="D103" s="27" t="s">
        <v>24</v>
      </c>
      <c r="E103" s="27">
        <v>3</v>
      </c>
      <c r="F103" s="63"/>
      <c r="G103" s="125"/>
      <c r="H103" s="17"/>
      <c r="I103" s="18"/>
      <c r="J103" s="18"/>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48">
        <v>1400000</v>
      </c>
      <c r="AN103" s="48">
        <v>1460000</v>
      </c>
      <c r="AO103" s="19"/>
      <c r="AP103" s="19"/>
      <c r="AQ103" s="19"/>
      <c r="AR103" s="19"/>
      <c r="AS103" s="19"/>
      <c r="AT103" s="19"/>
      <c r="AU103" s="19"/>
      <c r="AV103" s="19"/>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48">
        <v>1437500</v>
      </c>
      <c r="BS103" s="48"/>
      <c r="BT103" s="48"/>
      <c r="BU103" s="48"/>
      <c r="BV103" s="48"/>
      <c r="BW103" s="48"/>
      <c r="BX103" s="48"/>
      <c r="BY103" s="48"/>
      <c r="BZ103" s="48"/>
      <c r="CA103" s="48"/>
      <c r="CB103" s="48"/>
      <c r="CC103" s="48"/>
      <c r="CD103" s="48"/>
      <c r="CE103" s="48"/>
      <c r="CF103" s="48"/>
      <c r="CG103" s="48"/>
      <c r="CH103" s="48"/>
      <c r="CI103" s="48"/>
      <c r="CJ103" s="48"/>
      <c r="CK103" s="48"/>
      <c r="CL103" s="48"/>
      <c r="CM103" s="48"/>
      <c r="CN103" s="48"/>
      <c r="CO103" s="48"/>
      <c r="CP103" s="48"/>
      <c r="CQ103" s="48"/>
      <c r="CR103" s="48"/>
      <c r="CS103" s="48"/>
      <c r="CT103" s="48"/>
      <c r="CU103" s="48"/>
      <c r="CV103" s="48"/>
      <c r="CW103" s="48"/>
      <c r="CX103" s="48"/>
      <c r="CY103" s="48"/>
      <c r="CZ103" s="48"/>
      <c r="DA103" s="48"/>
      <c r="DB103" s="48"/>
      <c r="DC103" s="48"/>
      <c r="DD103" s="48"/>
      <c r="DE103" s="48"/>
      <c r="DF103" s="48"/>
      <c r="DG103" s="48"/>
      <c r="DH103" s="48"/>
      <c r="DI103" s="48"/>
      <c r="DJ103" s="48"/>
      <c r="DK103" s="48"/>
      <c r="DL103" s="48"/>
      <c r="DM103" s="48"/>
      <c r="DN103" s="44"/>
      <c r="DO103" s="22"/>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45">
        <f>MEDIAN(AM103,AN103,BR103)</f>
        <v>1437500</v>
      </c>
      <c r="ER103" s="45">
        <f>AVERAGE(AM103,AN103,BR103)</f>
        <v>1432500</v>
      </c>
      <c r="ES103" s="45">
        <f>+STDEV(AM103,AN103,BR103)</f>
        <v>30310.889132455352</v>
      </c>
      <c r="ET103" s="46">
        <f t="shared" si="32"/>
        <v>2.1159433949358011E-2</v>
      </c>
      <c r="EU103" s="44">
        <f t="shared" si="35"/>
        <v>1203781.512605042</v>
      </c>
      <c r="EV103" s="44">
        <f t="shared" si="36"/>
        <v>228718.48739495798</v>
      </c>
      <c r="EW103" s="44">
        <f t="shared" si="37"/>
        <v>1432500</v>
      </c>
      <c r="EX103" s="103">
        <f t="shared" si="38"/>
        <v>4297500</v>
      </c>
      <c r="EY103" s="26" t="s">
        <v>109</v>
      </c>
    </row>
    <row r="104" spans="1:158" ht="121.9" x14ac:dyDescent="0.35">
      <c r="A104" s="27">
        <v>90</v>
      </c>
      <c r="B104" s="141" t="s">
        <v>22</v>
      </c>
      <c r="C104" s="143" t="s">
        <v>275</v>
      </c>
      <c r="D104" s="27" t="s">
        <v>17</v>
      </c>
      <c r="E104" s="27">
        <v>240</v>
      </c>
      <c r="F104" s="63"/>
      <c r="G104" s="125"/>
      <c r="H104" s="17"/>
      <c r="I104" s="18"/>
      <c r="J104" s="18"/>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19"/>
      <c r="BU104" s="19"/>
      <c r="BV104" s="19"/>
      <c r="BW104" s="19"/>
      <c r="BX104" s="19"/>
      <c r="BY104" s="19"/>
      <c r="BZ104" s="19"/>
      <c r="CA104" s="19"/>
      <c r="CB104" s="19"/>
      <c r="CC104" s="19"/>
      <c r="CD104" s="19"/>
      <c r="CE104" s="19"/>
      <c r="CF104" s="19"/>
      <c r="CG104" s="19"/>
      <c r="CH104" s="19"/>
      <c r="CI104" s="19"/>
      <c r="CJ104" s="19"/>
      <c r="CK104" s="19"/>
      <c r="CL104" s="19"/>
      <c r="CM104" s="19"/>
      <c r="CN104" s="19"/>
      <c r="CO104" s="19"/>
      <c r="CP104" s="19"/>
      <c r="CQ104" s="19"/>
      <c r="CR104" s="19"/>
      <c r="CS104" s="19"/>
      <c r="CT104" s="19"/>
      <c r="CU104" s="19"/>
      <c r="CV104" s="19"/>
      <c r="CW104" s="19"/>
      <c r="CX104" s="19"/>
      <c r="CY104" s="19"/>
      <c r="CZ104" s="19"/>
      <c r="DA104" s="19"/>
      <c r="DB104" s="19"/>
      <c r="DC104" s="19"/>
      <c r="DD104" s="19"/>
      <c r="DE104" s="19"/>
      <c r="DF104" s="19"/>
      <c r="DG104" s="19"/>
      <c r="DH104" s="19"/>
      <c r="DI104" s="19"/>
      <c r="DJ104" s="19"/>
      <c r="DK104" s="19"/>
      <c r="DL104" s="19"/>
      <c r="DM104" s="19"/>
      <c r="DN104" s="44">
        <v>21420</v>
      </c>
      <c r="DO104" s="22"/>
      <c r="DP104" s="52"/>
      <c r="DQ104" s="52"/>
      <c r="DR104" s="52"/>
      <c r="DS104" s="52"/>
      <c r="DT104" s="52"/>
      <c r="DU104" s="52"/>
      <c r="DV104" s="52"/>
      <c r="DW104" s="52"/>
      <c r="DX104" s="52"/>
      <c r="DY104" s="52"/>
      <c r="DZ104" s="52"/>
      <c r="EA104" s="52"/>
      <c r="EB104" s="52"/>
      <c r="EC104" s="52"/>
      <c r="ED104" s="52"/>
      <c r="EE104" s="52"/>
      <c r="EF104" s="52">
        <v>15000</v>
      </c>
      <c r="EG104" s="52"/>
      <c r="EH104" s="52"/>
      <c r="EI104" s="52"/>
      <c r="EJ104" s="52"/>
      <c r="EK104" s="52"/>
      <c r="EL104" s="52"/>
      <c r="EM104" s="52"/>
      <c r="EN104" s="52"/>
      <c r="EO104" s="52"/>
      <c r="EP104" s="52"/>
      <c r="EQ104" s="45">
        <f>MEDIAN(DN104,DP104,EF104)</f>
        <v>18210</v>
      </c>
      <c r="ER104" s="45">
        <f>AVERAGE(DN104,DP104,EF104)</f>
        <v>18210</v>
      </c>
      <c r="ES104" s="45">
        <f>+STDEV(DN104,DP104,EF104)</f>
        <v>4539.6255352176349</v>
      </c>
      <c r="ET104" s="46">
        <f t="shared" si="32"/>
        <v>0.24929300028652582</v>
      </c>
      <c r="EU104" s="44">
        <f t="shared" si="35"/>
        <v>15302.521008403362</v>
      </c>
      <c r="EV104" s="44">
        <f t="shared" si="36"/>
        <v>2907.4789915966389</v>
      </c>
      <c r="EW104" s="44">
        <f t="shared" si="37"/>
        <v>18210</v>
      </c>
      <c r="EX104" s="103">
        <f t="shared" si="38"/>
        <v>4370400</v>
      </c>
      <c r="EY104" s="26" t="s">
        <v>219</v>
      </c>
    </row>
    <row r="105" spans="1:158" ht="58.9" customHeight="1" x14ac:dyDescent="0.35">
      <c r="A105" s="27">
        <v>91</v>
      </c>
      <c r="B105" s="143" t="s">
        <v>276</v>
      </c>
      <c r="C105" s="143" t="s">
        <v>275</v>
      </c>
      <c r="D105" s="27" t="s">
        <v>17</v>
      </c>
      <c r="E105" s="27">
        <v>120</v>
      </c>
      <c r="F105" s="63"/>
      <c r="G105" s="125"/>
      <c r="H105" s="17"/>
      <c r="I105" s="18"/>
      <c r="J105" s="18"/>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19"/>
      <c r="BU105" s="19"/>
      <c r="BV105" s="19"/>
      <c r="BW105" s="19"/>
      <c r="BX105" s="19"/>
      <c r="BY105" s="19"/>
      <c r="BZ105" s="19"/>
      <c r="CA105" s="19"/>
      <c r="CB105" s="19"/>
      <c r="CC105" s="19"/>
      <c r="CD105" s="19"/>
      <c r="CE105" s="19"/>
      <c r="CF105" s="19"/>
      <c r="CG105" s="19"/>
      <c r="CH105" s="19"/>
      <c r="CI105" s="19"/>
      <c r="CJ105" s="19"/>
      <c r="CK105" s="19"/>
      <c r="CL105" s="19"/>
      <c r="CM105" s="19"/>
      <c r="CN105" s="19"/>
      <c r="CO105" s="19"/>
      <c r="CP105" s="19"/>
      <c r="CQ105" s="19"/>
      <c r="CR105" s="19"/>
      <c r="CS105" s="19"/>
      <c r="CT105" s="19"/>
      <c r="CU105" s="19"/>
      <c r="CV105" s="19"/>
      <c r="CW105" s="19"/>
      <c r="CX105" s="19"/>
      <c r="CY105" s="19"/>
      <c r="CZ105" s="19"/>
      <c r="DA105" s="19"/>
      <c r="DB105" s="19"/>
      <c r="DC105" s="19"/>
      <c r="DD105" s="19"/>
      <c r="DE105" s="19"/>
      <c r="DF105" s="19"/>
      <c r="DG105" s="19"/>
      <c r="DH105" s="19"/>
      <c r="DI105" s="19"/>
      <c r="DJ105" s="19"/>
      <c r="DK105" s="19"/>
      <c r="DL105" s="19"/>
      <c r="DM105" s="19"/>
      <c r="DN105" s="44">
        <v>21420</v>
      </c>
      <c r="DO105" s="22"/>
      <c r="DP105" s="52"/>
      <c r="DQ105" s="52"/>
      <c r="DR105" s="52"/>
      <c r="DS105" s="52"/>
      <c r="DT105" s="52"/>
      <c r="DU105" s="52"/>
      <c r="DV105" s="52"/>
      <c r="DW105" s="52"/>
      <c r="DX105" s="52"/>
      <c r="DY105" s="52"/>
      <c r="DZ105" s="52"/>
      <c r="EA105" s="52"/>
      <c r="EB105" s="52"/>
      <c r="EC105" s="52"/>
      <c r="ED105" s="52"/>
      <c r="EE105" s="52"/>
      <c r="EF105" s="52">
        <v>15000</v>
      </c>
      <c r="EG105" s="52"/>
      <c r="EH105" s="52"/>
      <c r="EI105" s="52"/>
      <c r="EJ105" s="52"/>
      <c r="EK105" s="52"/>
      <c r="EL105" s="52"/>
      <c r="EM105" s="52"/>
      <c r="EN105" s="52"/>
      <c r="EO105" s="52"/>
      <c r="EP105" s="52"/>
      <c r="EQ105" s="45">
        <f>MEDIAN(DN105,DP105,EF105)</f>
        <v>18210</v>
      </c>
      <c r="ER105" s="45">
        <f>AVERAGE(DN105,DP105,EF105)</f>
        <v>18210</v>
      </c>
      <c r="ES105" s="45">
        <f>+STDEV(DN105,DP105,EF105)</f>
        <v>4539.6255352176349</v>
      </c>
      <c r="ET105" s="46">
        <f t="shared" si="32"/>
        <v>0.24929300028652582</v>
      </c>
      <c r="EU105" s="44">
        <f t="shared" si="35"/>
        <v>15302.521008403362</v>
      </c>
      <c r="EV105" s="44">
        <f t="shared" si="36"/>
        <v>2907.4789915966389</v>
      </c>
      <c r="EW105" s="44">
        <f t="shared" si="37"/>
        <v>18210</v>
      </c>
      <c r="EX105" s="103">
        <f t="shared" si="38"/>
        <v>2185200</v>
      </c>
      <c r="EY105" s="26" t="s">
        <v>219</v>
      </c>
    </row>
    <row r="106" spans="1:158" ht="148.5" x14ac:dyDescent="0.35">
      <c r="A106" s="27">
        <v>92</v>
      </c>
      <c r="B106" s="145" t="s">
        <v>145</v>
      </c>
      <c r="C106" s="218" t="s">
        <v>399</v>
      </c>
      <c r="D106" s="27" t="s">
        <v>17</v>
      </c>
      <c r="E106" s="27">
        <v>10</v>
      </c>
      <c r="F106" s="63"/>
      <c r="G106" s="125"/>
      <c r="H106" s="17"/>
      <c r="I106" s="18"/>
      <c r="J106" s="18"/>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49">
        <v>95000</v>
      </c>
      <c r="BA106" s="49">
        <f>+(AZ106*5.1%)+AZ106</f>
        <v>99845</v>
      </c>
      <c r="BB106" s="49">
        <v>107100</v>
      </c>
      <c r="BC106" s="49">
        <v>102000</v>
      </c>
      <c r="BD106" s="49"/>
      <c r="BE106" s="49"/>
      <c r="BF106" s="49"/>
      <c r="BG106" s="49"/>
      <c r="BH106" s="49"/>
      <c r="BI106" s="49"/>
      <c r="BJ106" s="49"/>
      <c r="BK106" s="49"/>
      <c r="BL106" s="49"/>
      <c r="BM106" s="49"/>
      <c r="BN106" s="49"/>
      <c r="BO106" s="49"/>
      <c r="BP106" s="49"/>
      <c r="BQ106" s="49"/>
      <c r="BR106" s="49"/>
      <c r="BS106" s="49"/>
      <c r="BT106" s="49"/>
      <c r="BU106" s="49"/>
      <c r="BV106" s="49"/>
      <c r="BW106" s="49"/>
      <c r="BX106" s="49"/>
      <c r="BY106" s="49"/>
      <c r="BZ106" s="49"/>
      <c r="CA106" s="49"/>
      <c r="CB106" s="49"/>
      <c r="CC106" s="49"/>
      <c r="CD106" s="49"/>
      <c r="CE106" s="49"/>
      <c r="CF106" s="49"/>
      <c r="CG106" s="49"/>
      <c r="CH106" s="49"/>
      <c r="CI106" s="49"/>
      <c r="CJ106" s="49"/>
      <c r="CK106" s="49"/>
      <c r="CL106" s="49"/>
      <c r="CM106" s="49"/>
      <c r="CN106" s="49"/>
      <c r="CO106" s="49"/>
      <c r="CP106" s="49"/>
      <c r="CQ106" s="49"/>
      <c r="CR106" s="49"/>
      <c r="CS106" s="49"/>
      <c r="CT106" s="49"/>
      <c r="CU106" s="49"/>
      <c r="CV106" s="49"/>
      <c r="CW106" s="49"/>
      <c r="CX106" s="49"/>
      <c r="CY106" s="49"/>
      <c r="CZ106" s="49"/>
      <c r="DA106" s="49"/>
      <c r="DB106" s="49"/>
      <c r="DC106" s="49"/>
      <c r="DD106" s="49"/>
      <c r="DE106" s="49"/>
      <c r="DF106" s="49"/>
      <c r="DG106" s="49"/>
      <c r="DH106" s="49"/>
      <c r="DI106" s="49"/>
      <c r="DJ106" s="49"/>
      <c r="DK106" s="49"/>
      <c r="DL106" s="49"/>
      <c r="DM106" s="49"/>
      <c r="DN106" s="44"/>
      <c r="DO106" s="22"/>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45">
        <f>MEDIAN(BA106,BB106,BC106)</f>
        <v>102000</v>
      </c>
      <c r="ER106" s="45">
        <f>AVERAGE(BA106,BB106,BC106)</f>
        <v>102981.66666666667</v>
      </c>
      <c r="ES106" s="45">
        <f>+STDEV(BA106,BB106,BC106)</f>
        <v>3725.789625479857</v>
      </c>
      <c r="ET106" s="46">
        <f t="shared" si="32"/>
        <v>3.6179154465809674E-2</v>
      </c>
      <c r="EU106" s="44">
        <f t="shared" si="35"/>
        <v>86539.495798319331</v>
      </c>
      <c r="EV106" s="44">
        <f t="shared" si="36"/>
        <v>16442.504201680673</v>
      </c>
      <c r="EW106" s="44">
        <f t="shared" si="37"/>
        <v>102982</v>
      </c>
      <c r="EX106" s="103">
        <f t="shared" si="38"/>
        <v>1029820</v>
      </c>
      <c r="EY106" s="26" t="s">
        <v>109</v>
      </c>
    </row>
    <row r="107" spans="1:158" ht="75.75" customHeight="1" x14ac:dyDescent="0.35">
      <c r="A107" s="27">
        <v>93</v>
      </c>
      <c r="B107" s="142" t="s">
        <v>65</v>
      </c>
      <c r="C107" s="142" t="s">
        <v>416</v>
      </c>
      <c r="D107" s="34" t="s">
        <v>17</v>
      </c>
      <c r="E107" s="34">
        <v>60</v>
      </c>
      <c r="F107" s="77"/>
      <c r="G107" s="128"/>
      <c r="H107" s="36"/>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7"/>
      <c r="AP107" s="37"/>
      <c r="AQ107" s="37"/>
      <c r="AR107" s="37"/>
      <c r="AS107" s="37"/>
      <c r="AT107" s="37"/>
      <c r="AU107" s="37"/>
      <c r="AV107" s="37"/>
      <c r="AW107" s="37"/>
      <c r="AX107" s="37"/>
      <c r="AY107" s="37"/>
      <c r="AZ107" s="37"/>
      <c r="BA107" s="37"/>
      <c r="BB107" s="37"/>
      <c r="BC107" s="37"/>
      <c r="BD107" s="37"/>
      <c r="BE107" s="37"/>
      <c r="BF107" s="37"/>
      <c r="BG107" s="37"/>
      <c r="BH107" s="37"/>
      <c r="BI107" s="37"/>
      <c r="BJ107" s="37"/>
      <c r="BK107" s="37"/>
      <c r="BL107" s="37"/>
      <c r="BM107" s="37"/>
      <c r="BN107" s="37"/>
      <c r="BO107" s="37"/>
      <c r="BP107" s="37"/>
      <c r="BQ107" s="37"/>
      <c r="BR107" s="37"/>
      <c r="BS107" s="37"/>
      <c r="BT107" s="37"/>
      <c r="BU107" s="37"/>
      <c r="BV107" s="37"/>
      <c r="BW107" s="37"/>
      <c r="BX107" s="37"/>
      <c r="BY107" s="37"/>
      <c r="BZ107" s="37"/>
      <c r="CA107" s="37"/>
      <c r="CB107" s="37"/>
      <c r="CC107" s="37"/>
      <c r="CD107" s="37"/>
      <c r="CE107" s="37"/>
      <c r="CF107" s="37"/>
      <c r="CG107" s="37"/>
      <c r="CH107" s="37"/>
      <c r="CI107" s="37"/>
      <c r="CJ107" s="37"/>
      <c r="CK107" s="37"/>
      <c r="CL107" s="37"/>
      <c r="CM107" s="37"/>
      <c r="CN107" s="37"/>
      <c r="CO107" s="37"/>
      <c r="CP107" s="37"/>
      <c r="CQ107" s="37"/>
      <c r="CR107" s="37"/>
      <c r="CS107" s="37"/>
      <c r="CT107" s="37"/>
      <c r="CU107" s="37"/>
      <c r="CV107" s="37"/>
      <c r="CW107" s="37"/>
      <c r="CX107" s="37"/>
      <c r="CY107" s="37"/>
      <c r="CZ107" s="37"/>
      <c r="DA107" s="37"/>
      <c r="DB107" s="37"/>
      <c r="DC107" s="37"/>
      <c r="DD107" s="37"/>
      <c r="DE107" s="37"/>
      <c r="DF107" s="37"/>
      <c r="DG107" s="37"/>
      <c r="DH107" s="37"/>
      <c r="DI107" s="37"/>
      <c r="DJ107" s="37"/>
      <c r="DK107" s="37"/>
      <c r="DL107" s="37"/>
      <c r="DM107" s="37"/>
      <c r="DN107" s="40"/>
      <c r="DO107" s="78"/>
      <c r="DP107" s="79"/>
      <c r="DQ107" s="79"/>
      <c r="DR107" s="79"/>
      <c r="DS107" s="79"/>
      <c r="DT107" s="79"/>
      <c r="DU107" s="79"/>
      <c r="DV107" s="79"/>
      <c r="DW107" s="79"/>
      <c r="DX107" s="79"/>
      <c r="DY107" s="79"/>
      <c r="DZ107" s="79"/>
      <c r="EA107" s="79"/>
      <c r="EB107" s="79"/>
      <c r="EC107" s="79"/>
      <c r="ED107" s="79"/>
      <c r="EE107" s="79"/>
      <c r="EF107" s="79"/>
      <c r="EG107" s="79"/>
      <c r="EH107" s="79"/>
      <c r="EI107" s="79"/>
      <c r="EJ107" s="79"/>
      <c r="EK107" s="79"/>
      <c r="EL107" s="79"/>
      <c r="EM107" s="79"/>
      <c r="EN107" s="79"/>
      <c r="EO107" s="79"/>
      <c r="EP107" s="79"/>
      <c r="EQ107" s="35"/>
      <c r="ER107" s="35"/>
      <c r="ES107" s="35"/>
      <c r="ET107" s="80"/>
      <c r="EU107" s="38">
        <v>300000</v>
      </c>
      <c r="EV107" s="40">
        <v>0</v>
      </c>
      <c r="EW107" s="38">
        <v>300000</v>
      </c>
      <c r="EX107" s="38">
        <f t="shared" si="38"/>
        <v>18000000</v>
      </c>
      <c r="EY107" s="34" t="s">
        <v>227</v>
      </c>
    </row>
    <row r="108" spans="1:158" ht="104.25" customHeight="1" x14ac:dyDescent="0.35">
      <c r="A108" s="27">
        <v>94</v>
      </c>
      <c r="B108" s="130" t="s">
        <v>298</v>
      </c>
      <c r="C108" s="130" t="s">
        <v>228</v>
      </c>
      <c r="D108" s="27" t="s">
        <v>392</v>
      </c>
      <c r="E108" s="27">
        <v>60</v>
      </c>
      <c r="F108" s="81"/>
      <c r="G108" s="125"/>
      <c r="H108" s="17"/>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44"/>
      <c r="DO108" s="82"/>
      <c r="DP108" s="83"/>
      <c r="DQ108" s="83"/>
      <c r="DR108" s="83"/>
      <c r="DS108" s="83"/>
      <c r="DT108" s="83"/>
      <c r="DU108" s="83"/>
      <c r="DV108" s="83"/>
      <c r="DW108" s="83"/>
      <c r="DX108" s="83"/>
      <c r="DY108" s="83"/>
      <c r="DZ108" s="83"/>
      <c r="EA108" s="83"/>
      <c r="EB108" s="83"/>
      <c r="EC108" s="83"/>
      <c r="ED108" s="83"/>
      <c r="EE108" s="83"/>
      <c r="EF108" s="83"/>
      <c r="EG108" s="83"/>
      <c r="EH108" s="83"/>
      <c r="EI108" s="83"/>
      <c r="EJ108" s="83"/>
      <c r="EK108" s="83"/>
      <c r="EL108" s="83"/>
      <c r="EM108" s="83"/>
      <c r="EN108" s="83"/>
      <c r="EO108" s="83"/>
      <c r="EP108" s="83"/>
      <c r="EQ108" s="84"/>
      <c r="ER108" s="84"/>
      <c r="ES108" s="84"/>
      <c r="ET108" s="71"/>
      <c r="EU108" s="44">
        <f>+EW107*10%</f>
        <v>30000</v>
      </c>
      <c r="EV108" s="44">
        <f>+EU108*19%</f>
        <v>5700</v>
      </c>
      <c r="EW108" s="85">
        <f>+((EU108*7%)+EV108)+EU108</f>
        <v>37800</v>
      </c>
      <c r="EX108" s="86">
        <f>+EW108*E108</f>
        <v>2268000</v>
      </c>
      <c r="EY108" s="26" t="s">
        <v>374</v>
      </c>
    </row>
    <row r="109" spans="1:158" ht="75.75" customHeight="1" x14ac:dyDescent="0.35">
      <c r="A109" s="27">
        <v>95</v>
      </c>
      <c r="B109" s="142" t="s">
        <v>66</v>
      </c>
      <c r="C109" s="142" t="s">
        <v>417</v>
      </c>
      <c r="D109" s="34" t="s">
        <v>17</v>
      </c>
      <c r="E109" s="34">
        <v>60</v>
      </c>
      <c r="F109" s="77"/>
      <c r="G109" s="128"/>
      <c r="H109" s="36"/>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7"/>
      <c r="AP109" s="37"/>
      <c r="AQ109" s="37"/>
      <c r="AR109" s="37"/>
      <c r="AS109" s="37"/>
      <c r="AT109" s="37"/>
      <c r="AU109" s="37"/>
      <c r="AV109" s="37"/>
      <c r="AW109" s="37"/>
      <c r="AX109" s="37"/>
      <c r="AY109" s="37"/>
      <c r="AZ109" s="37"/>
      <c r="BA109" s="37"/>
      <c r="BB109" s="37"/>
      <c r="BC109" s="37"/>
      <c r="BD109" s="37"/>
      <c r="BE109" s="37"/>
      <c r="BF109" s="37"/>
      <c r="BG109" s="37"/>
      <c r="BH109" s="37"/>
      <c r="BI109" s="37"/>
      <c r="BJ109" s="37"/>
      <c r="BK109" s="37"/>
      <c r="BL109" s="37"/>
      <c r="BM109" s="37"/>
      <c r="BN109" s="37"/>
      <c r="BO109" s="37"/>
      <c r="BP109" s="37"/>
      <c r="BQ109" s="37"/>
      <c r="BR109" s="37"/>
      <c r="BS109" s="37"/>
      <c r="BT109" s="37"/>
      <c r="BU109" s="37"/>
      <c r="BV109" s="37"/>
      <c r="BW109" s="37"/>
      <c r="BX109" s="37"/>
      <c r="BY109" s="37"/>
      <c r="BZ109" s="37"/>
      <c r="CA109" s="37"/>
      <c r="CB109" s="37"/>
      <c r="CC109" s="37"/>
      <c r="CD109" s="37"/>
      <c r="CE109" s="37"/>
      <c r="CF109" s="37"/>
      <c r="CG109" s="37"/>
      <c r="CH109" s="37"/>
      <c r="CI109" s="37"/>
      <c r="CJ109" s="37"/>
      <c r="CK109" s="37"/>
      <c r="CL109" s="37"/>
      <c r="CM109" s="37"/>
      <c r="CN109" s="37"/>
      <c r="CO109" s="37"/>
      <c r="CP109" s="37"/>
      <c r="CQ109" s="37"/>
      <c r="CR109" s="37"/>
      <c r="CS109" s="37"/>
      <c r="CT109" s="37"/>
      <c r="CU109" s="37"/>
      <c r="CV109" s="37"/>
      <c r="CW109" s="37"/>
      <c r="CX109" s="37"/>
      <c r="CY109" s="37"/>
      <c r="CZ109" s="37"/>
      <c r="DA109" s="37"/>
      <c r="DB109" s="37"/>
      <c r="DC109" s="37"/>
      <c r="DD109" s="37"/>
      <c r="DE109" s="37"/>
      <c r="DF109" s="37"/>
      <c r="DG109" s="37"/>
      <c r="DH109" s="37"/>
      <c r="DI109" s="37"/>
      <c r="DJ109" s="37"/>
      <c r="DK109" s="37"/>
      <c r="DL109" s="37"/>
      <c r="DM109" s="37"/>
      <c r="DN109" s="40"/>
      <c r="DO109" s="78"/>
      <c r="DP109" s="79"/>
      <c r="DQ109" s="79"/>
      <c r="DR109" s="79"/>
      <c r="DS109" s="79"/>
      <c r="DT109" s="79"/>
      <c r="DU109" s="79"/>
      <c r="DV109" s="79"/>
      <c r="DW109" s="79"/>
      <c r="DX109" s="79"/>
      <c r="DY109" s="79"/>
      <c r="DZ109" s="79"/>
      <c r="EA109" s="79"/>
      <c r="EB109" s="79"/>
      <c r="EC109" s="79"/>
      <c r="ED109" s="79"/>
      <c r="EE109" s="79"/>
      <c r="EF109" s="79"/>
      <c r="EG109" s="79"/>
      <c r="EH109" s="79"/>
      <c r="EI109" s="79"/>
      <c r="EJ109" s="79"/>
      <c r="EK109" s="79"/>
      <c r="EL109" s="79"/>
      <c r="EM109" s="79"/>
      <c r="EN109" s="79"/>
      <c r="EO109" s="79"/>
      <c r="EP109" s="79"/>
      <c r="EQ109" s="35"/>
      <c r="ER109" s="35"/>
      <c r="ES109" s="35"/>
      <c r="ET109" s="80"/>
      <c r="EU109" s="38">
        <v>150000</v>
      </c>
      <c r="EV109" s="40">
        <v>0</v>
      </c>
      <c r="EW109" s="38">
        <v>150000</v>
      </c>
      <c r="EX109" s="38">
        <f t="shared" si="38"/>
        <v>9000000</v>
      </c>
      <c r="EY109" s="34" t="s">
        <v>260</v>
      </c>
      <c r="FB109" s="137"/>
    </row>
    <row r="110" spans="1:158" ht="104.25" customHeight="1" x14ac:dyDescent="0.35">
      <c r="A110" s="27">
        <v>96</v>
      </c>
      <c r="B110" s="130" t="s">
        <v>298</v>
      </c>
      <c r="C110" s="130" t="s">
        <v>228</v>
      </c>
      <c r="D110" s="27" t="s">
        <v>392</v>
      </c>
      <c r="E110" s="27">
        <v>60</v>
      </c>
      <c r="F110" s="81"/>
      <c r="G110" s="125"/>
      <c r="H110" s="17"/>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44"/>
      <c r="DO110" s="82"/>
      <c r="DP110" s="83"/>
      <c r="DQ110" s="83"/>
      <c r="DR110" s="83"/>
      <c r="DS110" s="83"/>
      <c r="DT110" s="83"/>
      <c r="DU110" s="83"/>
      <c r="DV110" s="83"/>
      <c r="DW110" s="83"/>
      <c r="DX110" s="83"/>
      <c r="DY110" s="83"/>
      <c r="DZ110" s="83"/>
      <c r="EA110" s="83"/>
      <c r="EB110" s="83"/>
      <c r="EC110" s="83"/>
      <c r="ED110" s="83"/>
      <c r="EE110" s="83"/>
      <c r="EF110" s="83"/>
      <c r="EG110" s="83"/>
      <c r="EH110" s="83"/>
      <c r="EI110" s="83"/>
      <c r="EJ110" s="83"/>
      <c r="EK110" s="83"/>
      <c r="EL110" s="83"/>
      <c r="EM110" s="83"/>
      <c r="EN110" s="83"/>
      <c r="EO110" s="83"/>
      <c r="EP110" s="83"/>
      <c r="EQ110" s="84"/>
      <c r="ER110" s="84"/>
      <c r="ES110" s="84"/>
      <c r="ET110" s="71"/>
      <c r="EU110" s="44">
        <f>+EW109*10%</f>
        <v>15000</v>
      </c>
      <c r="EV110" s="44">
        <f>+EU110*19%</f>
        <v>2850</v>
      </c>
      <c r="EW110" s="85">
        <f>+((EU110*7%)+EV110)+EU110</f>
        <v>18900</v>
      </c>
      <c r="EX110" s="86">
        <f t="shared" si="38"/>
        <v>1134000</v>
      </c>
      <c r="EY110" s="26" t="s">
        <v>374</v>
      </c>
    </row>
    <row r="111" spans="1:158" ht="15.6" customHeight="1" x14ac:dyDescent="0.35">
      <c r="A111" s="231" t="s">
        <v>67</v>
      </c>
      <c r="B111" s="232"/>
      <c r="C111" s="232"/>
      <c r="D111" s="232"/>
      <c r="E111" s="232"/>
      <c r="F111" s="233"/>
      <c r="G111" s="129"/>
      <c r="H111" s="28"/>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c r="AY111" s="29"/>
      <c r="AZ111" s="29"/>
      <c r="BA111" s="29"/>
      <c r="BB111" s="29"/>
      <c r="BC111" s="29"/>
      <c r="BD111" s="29"/>
      <c r="BE111" s="29"/>
      <c r="BF111" s="29"/>
      <c r="BG111" s="29"/>
      <c r="BH111" s="29"/>
      <c r="BI111" s="29"/>
      <c r="BJ111" s="29"/>
      <c r="BK111" s="29"/>
      <c r="BL111" s="29"/>
      <c r="BM111" s="29"/>
      <c r="BN111" s="29"/>
      <c r="BO111" s="29"/>
      <c r="BP111" s="29"/>
      <c r="BQ111" s="29"/>
      <c r="BR111" s="29"/>
      <c r="BS111" s="29"/>
      <c r="BT111" s="29"/>
      <c r="BU111" s="29"/>
      <c r="BV111" s="29"/>
      <c r="BW111" s="29"/>
      <c r="BX111" s="29"/>
      <c r="BY111" s="29"/>
      <c r="BZ111" s="29"/>
      <c r="CA111" s="29"/>
      <c r="CB111" s="29"/>
      <c r="CC111" s="29"/>
      <c r="CD111" s="29"/>
      <c r="CE111" s="29"/>
      <c r="CF111" s="29"/>
      <c r="CG111" s="29"/>
      <c r="CH111" s="29"/>
      <c r="CI111" s="29"/>
      <c r="CJ111" s="29"/>
      <c r="CK111" s="29"/>
      <c r="CL111" s="29"/>
      <c r="CM111" s="29"/>
      <c r="CN111" s="29"/>
      <c r="CO111" s="29"/>
      <c r="CP111" s="29"/>
      <c r="CQ111" s="29"/>
      <c r="CR111" s="29"/>
      <c r="CS111" s="29"/>
      <c r="CT111" s="29"/>
      <c r="CU111" s="29"/>
      <c r="CV111" s="29"/>
      <c r="CW111" s="29"/>
      <c r="CX111" s="29"/>
      <c r="CY111" s="29"/>
      <c r="CZ111" s="29"/>
      <c r="DA111" s="29"/>
      <c r="DB111" s="29"/>
      <c r="DC111" s="29"/>
      <c r="DD111" s="29"/>
      <c r="DE111" s="29"/>
      <c r="DF111" s="29"/>
      <c r="DG111" s="29"/>
      <c r="DH111" s="29"/>
      <c r="DI111" s="29"/>
      <c r="DJ111" s="29"/>
      <c r="DK111" s="29"/>
      <c r="DL111" s="29"/>
      <c r="DM111" s="29"/>
      <c r="DN111" s="212"/>
      <c r="DO111" s="87"/>
      <c r="DP111" s="88"/>
      <c r="DQ111" s="88"/>
      <c r="DR111" s="88"/>
      <c r="DS111" s="88"/>
      <c r="DT111" s="88"/>
      <c r="DU111" s="88"/>
      <c r="DV111" s="88"/>
      <c r="DW111" s="88"/>
      <c r="DX111" s="88"/>
      <c r="DY111" s="88"/>
      <c r="DZ111" s="88"/>
      <c r="EA111" s="88"/>
      <c r="EB111" s="88"/>
      <c r="EC111" s="88"/>
      <c r="ED111" s="88"/>
      <c r="EE111" s="88"/>
      <c r="EF111" s="88"/>
      <c r="EG111" s="88"/>
      <c r="EH111" s="88"/>
      <c r="EI111" s="88"/>
      <c r="EJ111" s="88"/>
      <c r="EK111" s="88"/>
      <c r="EL111" s="88"/>
      <c r="EM111" s="88"/>
      <c r="EN111" s="88"/>
      <c r="EO111" s="88"/>
      <c r="EP111" s="88"/>
      <c r="EQ111" s="55"/>
      <c r="ER111" s="55"/>
      <c r="ES111" s="55"/>
      <c r="ET111" s="56"/>
      <c r="EU111" s="57"/>
      <c r="EV111" s="57"/>
      <c r="EW111" s="58"/>
      <c r="EX111" s="59"/>
      <c r="EY111" s="60"/>
    </row>
    <row r="112" spans="1:158" ht="40.5" x14ac:dyDescent="0.35">
      <c r="A112" s="26">
        <v>97</v>
      </c>
      <c r="B112" s="64" t="s">
        <v>55</v>
      </c>
      <c r="C112" s="74" t="s">
        <v>176</v>
      </c>
      <c r="D112" s="26" t="s">
        <v>17</v>
      </c>
      <c r="E112" s="26">
        <v>80</v>
      </c>
      <c r="F112" s="63"/>
      <c r="G112" s="125"/>
      <c r="H112" s="17"/>
      <c r="I112" s="18"/>
      <c r="J112" s="18"/>
      <c r="K112" s="19"/>
      <c r="L112" s="19"/>
      <c r="M112" s="19"/>
      <c r="N112" s="19"/>
      <c r="O112" s="19"/>
      <c r="P112" s="19"/>
      <c r="Q112" s="49">
        <v>22610</v>
      </c>
      <c r="R112" s="16">
        <f>+(Q112*5.1%)+Q112</f>
        <v>23763.11</v>
      </c>
      <c r="S112" s="49">
        <v>23800</v>
      </c>
      <c r="T112" s="16">
        <f>+(S112*5.1%)+S112</f>
        <v>25013.8</v>
      </c>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49">
        <v>24000</v>
      </c>
      <c r="AW112" s="49">
        <f t="shared" ref="AW112" si="41">+(AV112*5.1%)+AV112</f>
        <v>25224</v>
      </c>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19"/>
      <c r="BU112" s="19"/>
      <c r="BV112" s="19"/>
      <c r="BW112" s="49">
        <v>17800</v>
      </c>
      <c r="BX112" s="49"/>
      <c r="BY112" s="49"/>
      <c r="BZ112" s="49"/>
      <c r="CA112" s="49"/>
      <c r="CB112" s="49"/>
      <c r="CC112" s="49"/>
      <c r="CD112" s="49"/>
      <c r="CE112" s="49"/>
      <c r="CF112" s="49"/>
      <c r="CG112" s="49"/>
      <c r="CH112" s="49"/>
      <c r="CI112" s="49"/>
      <c r="CJ112" s="49"/>
      <c r="CK112" s="49"/>
      <c r="CL112" s="49"/>
      <c r="CM112" s="49"/>
      <c r="CN112" s="49"/>
      <c r="CO112" s="49"/>
      <c r="CP112" s="49"/>
      <c r="CQ112" s="49"/>
      <c r="CR112" s="49"/>
      <c r="CS112" s="49"/>
      <c r="CT112" s="49"/>
      <c r="CU112" s="49"/>
      <c r="CV112" s="49"/>
      <c r="CW112" s="49"/>
      <c r="CX112" s="49"/>
      <c r="CY112" s="49"/>
      <c r="CZ112" s="49"/>
      <c r="DA112" s="49"/>
      <c r="DB112" s="49"/>
      <c r="DC112" s="49"/>
      <c r="DD112" s="49"/>
      <c r="DE112" s="49"/>
      <c r="DF112" s="49"/>
      <c r="DG112" s="49"/>
      <c r="DH112" s="49"/>
      <c r="DI112" s="49"/>
      <c r="DJ112" s="49"/>
      <c r="DK112" s="49"/>
      <c r="DL112" s="49"/>
      <c r="DM112" s="49"/>
      <c r="DN112" s="44"/>
      <c r="DO112" s="22"/>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45">
        <f>MEDIAN(R112,T112,AW112,BW112)</f>
        <v>24388.455000000002</v>
      </c>
      <c r="ER112" s="45">
        <f>AVERAGE(R112,T112,AW112,BW112)</f>
        <v>22950.227500000001</v>
      </c>
      <c r="ES112" s="45">
        <f>+STDEV(R112,T112,AW112,BW112)</f>
        <v>3493.5175256024731</v>
      </c>
      <c r="ET112" s="46">
        <f t="shared" ref="ET112" si="42">ES112/ER112</f>
        <v>0.15222147691575053</v>
      </c>
      <c r="EU112" s="44">
        <f t="shared" ref="EU112:EU118" si="43">EW112/1.19</f>
        <v>20494.957983193279</v>
      </c>
      <c r="EV112" s="44">
        <f t="shared" ref="EV112:EV118" si="44">EU112*19%</f>
        <v>3894.042016806723</v>
      </c>
      <c r="EW112" s="44">
        <f t="shared" ref="EW112:EW119" si="45">+ROUNDUP(IF(ET112&lt;15%,ER112,EQ112),0)</f>
        <v>24389</v>
      </c>
      <c r="EX112" s="103">
        <f t="shared" ref="EX112:EX145" si="46">+EW112*E112</f>
        <v>1951120</v>
      </c>
      <c r="EY112" s="26" t="s">
        <v>109</v>
      </c>
    </row>
    <row r="113" spans="1:155" ht="94.5" customHeight="1" x14ac:dyDescent="0.35">
      <c r="A113" s="27">
        <v>98</v>
      </c>
      <c r="B113" s="143" t="s">
        <v>400</v>
      </c>
      <c r="C113" s="143" t="s">
        <v>281</v>
      </c>
      <c r="D113" s="26" t="s">
        <v>17</v>
      </c>
      <c r="E113" s="26">
        <v>8</v>
      </c>
      <c r="F113" s="63"/>
      <c r="G113" s="125"/>
      <c r="H113" s="17"/>
      <c r="I113" s="18"/>
      <c r="J113" s="18"/>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19"/>
      <c r="BU113" s="19"/>
      <c r="BV113" s="19"/>
      <c r="BW113" s="19"/>
      <c r="BX113" s="19"/>
      <c r="BY113" s="19"/>
      <c r="BZ113" s="19"/>
      <c r="CA113" s="19"/>
      <c r="CB113" s="19"/>
      <c r="CC113" s="19"/>
      <c r="CD113" s="19"/>
      <c r="CE113" s="19"/>
      <c r="CF113" s="19"/>
      <c r="CG113" s="19"/>
      <c r="CH113" s="19"/>
      <c r="CI113" s="19"/>
      <c r="CJ113" s="19"/>
      <c r="CK113" s="19"/>
      <c r="CL113" s="19"/>
      <c r="CM113" s="19"/>
      <c r="CN113" s="19"/>
      <c r="CO113" s="19"/>
      <c r="CP113" s="19"/>
      <c r="CQ113" s="19"/>
      <c r="CR113" s="19"/>
      <c r="CS113" s="19"/>
      <c r="CT113" s="19"/>
      <c r="CU113" s="19"/>
      <c r="CV113" s="19"/>
      <c r="CW113" s="19"/>
      <c r="CX113" s="19"/>
      <c r="CY113" s="19"/>
      <c r="CZ113" s="19"/>
      <c r="DA113" s="19"/>
      <c r="DB113" s="19"/>
      <c r="DC113" s="19"/>
      <c r="DD113" s="19"/>
      <c r="DE113" s="19"/>
      <c r="DF113" s="19"/>
      <c r="DG113" s="19"/>
      <c r="DH113" s="19"/>
      <c r="DI113" s="19"/>
      <c r="DJ113" s="19"/>
      <c r="DK113" s="19"/>
      <c r="DL113" s="19"/>
      <c r="DM113" s="19"/>
      <c r="DN113" s="44"/>
      <c r="DO113" s="22"/>
      <c r="DP113" s="89"/>
      <c r="DQ113" s="89"/>
      <c r="DR113" s="89"/>
      <c r="DS113" s="89"/>
      <c r="DT113" s="89"/>
      <c r="DU113" s="89"/>
      <c r="DV113" s="89"/>
      <c r="DW113" s="89"/>
      <c r="DX113" s="89"/>
      <c r="DY113" s="89"/>
      <c r="DZ113" s="89"/>
      <c r="EA113" s="89"/>
      <c r="EB113" s="89"/>
      <c r="EC113" s="89"/>
      <c r="ED113" s="89"/>
      <c r="EE113" s="89">
        <v>15000</v>
      </c>
      <c r="EF113" s="89">
        <v>12000</v>
      </c>
      <c r="EG113" s="89"/>
      <c r="EH113" s="89"/>
      <c r="EI113" s="89"/>
      <c r="EJ113" s="89"/>
      <c r="EK113" s="89"/>
      <c r="EL113" s="89"/>
      <c r="EM113" s="89"/>
      <c r="EN113" s="89"/>
      <c r="EO113" s="89"/>
      <c r="EP113" s="89"/>
      <c r="EQ113" s="45">
        <f>MEDIAN(EE113,EF113)</f>
        <v>13500</v>
      </c>
      <c r="ER113" s="45">
        <f>AVERAGE(EE113,EF113)</f>
        <v>13500</v>
      </c>
      <c r="ES113" s="45">
        <f>+STDEV(EE113,EF113)</f>
        <v>2121.3203435596424</v>
      </c>
      <c r="ET113" s="46">
        <f t="shared" si="32"/>
        <v>0.15713484026367722</v>
      </c>
      <c r="EU113" s="44">
        <f t="shared" si="43"/>
        <v>11344.53781512605</v>
      </c>
      <c r="EV113" s="44">
        <f t="shared" si="44"/>
        <v>2155.4621848739494</v>
      </c>
      <c r="EW113" s="44">
        <f t="shared" si="45"/>
        <v>13500</v>
      </c>
      <c r="EX113" s="103">
        <f t="shared" si="46"/>
        <v>108000</v>
      </c>
      <c r="EY113" s="26" t="s">
        <v>219</v>
      </c>
    </row>
    <row r="114" spans="1:155" ht="138.75" customHeight="1" x14ac:dyDescent="0.35">
      <c r="A114" s="27">
        <v>99</v>
      </c>
      <c r="B114" s="143" t="s">
        <v>401</v>
      </c>
      <c r="C114" s="143" t="s">
        <v>282</v>
      </c>
      <c r="D114" s="26" t="s">
        <v>17</v>
      </c>
      <c r="E114" s="26">
        <v>4</v>
      </c>
      <c r="F114" s="63"/>
      <c r="G114" s="125"/>
      <c r="H114" s="17"/>
      <c r="I114" s="18"/>
      <c r="J114" s="18"/>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19"/>
      <c r="BU114" s="19"/>
      <c r="BV114" s="19"/>
      <c r="BW114" s="19"/>
      <c r="BX114" s="19"/>
      <c r="BY114" s="19"/>
      <c r="BZ114" s="48"/>
      <c r="CA114" s="48">
        <v>34000</v>
      </c>
      <c r="CB114" s="48">
        <v>30000</v>
      </c>
      <c r="CC114" s="19"/>
      <c r="CD114" s="19"/>
      <c r="CE114" s="19"/>
      <c r="CF114" s="19"/>
      <c r="CG114" s="19"/>
      <c r="CH114" s="19"/>
      <c r="CI114" s="19"/>
      <c r="CJ114" s="19"/>
      <c r="CK114" s="19"/>
      <c r="CL114" s="19"/>
      <c r="CM114" s="19"/>
      <c r="CN114" s="19"/>
      <c r="CO114" s="19"/>
      <c r="CP114" s="19"/>
      <c r="CQ114" s="19"/>
      <c r="CR114" s="19"/>
      <c r="CS114" s="19"/>
      <c r="CT114" s="19"/>
      <c r="CU114" s="19"/>
      <c r="CV114" s="19"/>
      <c r="CW114" s="19"/>
      <c r="CX114" s="19"/>
      <c r="CY114" s="19"/>
      <c r="CZ114" s="19"/>
      <c r="DA114" s="19"/>
      <c r="DB114" s="19"/>
      <c r="DC114" s="19"/>
      <c r="DD114" s="19"/>
      <c r="DE114" s="19"/>
      <c r="DF114" s="19"/>
      <c r="DG114" s="19"/>
      <c r="DH114" s="19"/>
      <c r="DI114" s="19"/>
      <c r="DJ114" s="19"/>
      <c r="DK114" s="19"/>
      <c r="DL114" s="19"/>
      <c r="DM114" s="19"/>
      <c r="DN114" s="44"/>
      <c r="DO114" s="22"/>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45">
        <f>MEDIAN(BZ114,CA114,CB114)</f>
        <v>32000</v>
      </c>
      <c r="ER114" s="45">
        <f>AVERAGE(BZ114,CA114,CB114)</f>
        <v>32000</v>
      </c>
      <c r="ES114" s="45">
        <f>+STDEV(BZ114,CA114,CB114)</f>
        <v>2828.4271247461902</v>
      </c>
      <c r="ET114" s="46">
        <f t="shared" si="32"/>
        <v>8.8388347648318447E-2</v>
      </c>
      <c r="EU114" s="44">
        <f t="shared" si="43"/>
        <v>26890.756302521011</v>
      </c>
      <c r="EV114" s="44">
        <f t="shared" si="44"/>
        <v>5109.2436974789925</v>
      </c>
      <c r="EW114" s="44">
        <f t="shared" si="45"/>
        <v>32000</v>
      </c>
      <c r="EX114" s="103">
        <f t="shared" si="46"/>
        <v>128000</v>
      </c>
      <c r="EY114" s="26" t="s">
        <v>109</v>
      </c>
    </row>
    <row r="115" spans="1:155" ht="95.25" x14ac:dyDescent="0.35">
      <c r="A115" s="26">
        <v>100</v>
      </c>
      <c r="B115" s="143" t="s">
        <v>68</v>
      </c>
      <c r="C115" s="143" t="s">
        <v>285</v>
      </c>
      <c r="D115" s="26" t="s">
        <v>17</v>
      </c>
      <c r="E115" s="26">
        <v>4</v>
      </c>
      <c r="F115" s="63"/>
      <c r="G115" s="125"/>
      <c r="H115" s="17"/>
      <c r="I115" s="18"/>
      <c r="J115" s="18"/>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48"/>
      <c r="CA115" s="48"/>
      <c r="CB115" s="48">
        <v>180000</v>
      </c>
      <c r="CC115" s="19"/>
      <c r="CD115" s="19"/>
      <c r="CE115" s="19"/>
      <c r="CF115" s="19"/>
      <c r="CG115" s="19"/>
      <c r="CH115" s="19"/>
      <c r="CI115" s="19"/>
      <c r="CJ115" s="19"/>
      <c r="CK115" s="19"/>
      <c r="CL115" s="19"/>
      <c r="CM115" s="19"/>
      <c r="CN115" s="19"/>
      <c r="CO115" s="19"/>
      <c r="CP115" s="19"/>
      <c r="CQ115" s="19"/>
      <c r="CR115" s="19"/>
      <c r="CS115" s="19"/>
      <c r="CT115" s="19"/>
      <c r="CU115" s="19"/>
      <c r="CV115" s="19"/>
      <c r="CW115" s="19"/>
      <c r="CX115" s="19"/>
      <c r="CY115" s="19"/>
      <c r="CZ115" s="19"/>
      <c r="DA115" s="19"/>
      <c r="DB115" s="19"/>
      <c r="DC115" s="19"/>
      <c r="DD115" s="19"/>
      <c r="DE115" s="19"/>
      <c r="DF115" s="19"/>
      <c r="DG115" s="19"/>
      <c r="DH115" s="19"/>
      <c r="DI115" s="19"/>
      <c r="DJ115" s="19"/>
      <c r="DK115" s="19"/>
      <c r="DL115" s="19"/>
      <c r="DM115" s="19"/>
      <c r="DN115" s="44"/>
      <c r="DO115" s="22"/>
      <c r="DP115" s="23"/>
      <c r="DQ115" s="23"/>
      <c r="DR115" s="23"/>
      <c r="DS115" s="23"/>
      <c r="DT115" s="23"/>
      <c r="DU115" s="23"/>
      <c r="DV115" s="23"/>
      <c r="DW115" s="23"/>
      <c r="DX115" s="23"/>
      <c r="DY115" s="23"/>
      <c r="DZ115" s="23"/>
      <c r="EA115" s="23"/>
      <c r="EB115" s="23"/>
      <c r="EC115" s="23"/>
      <c r="ED115" s="23"/>
      <c r="EE115" s="23"/>
      <c r="EF115" s="23">
        <v>117000</v>
      </c>
      <c r="EG115" s="23"/>
      <c r="EH115" s="23"/>
      <c r="EI115" s="23"/>
      <c r="EJ115" s="200">
        <v>39900</v>
      </c>
      <c r="EK115" s="200">
        <f>+EJ115/1.19</f>
        <v>33529.411764705881</v>
      </c>
      <c r="EL115" s="200">
        <f>+(EK115*36%)+EK115</f>
        <v>45600</v>
      </c>
      <c r="EM115" s="200">
        <v>44900</v>
      </c>
      <c r="EN115" s="200">
        <f>+EM115/1.19</f>
        <v>37731.092436974788</v>
      </c>
      <c r="EO115" s="200">
        <f>+(EN115*36%)+EN115</f>
        <v>51314.28571428571</v>
      </c>
      <c r="EP115" s="200"/>
      <c r="EQ115" s="45">
        <f>MEDIAN(BZ115,CA115,CB115,EF115)</f>
        <v>148500</v>
      </c>
      <c r="ER115" s="45">
        <f>AVERAGE(BZ115,CA115,CB115,EF115)</f>
        <v>148500</v>
      </c>
      <c r="ES115" s="45">
        <f>+STDEV(BZ115,CA115,CB115,EF115)</f>
        <v>44547.727214752493</v>
      </c>
      <c r="ET115" s="46">
        <f t="shared" ref="ET115" si="47">ES115/ER115</f>
        <v>0.29998469504883835</v>
      </c>
      <c r="EU115" s="44">
        <f t="shared" si="43"/>
        <v>124789.91596638656</v>
      </c>
      <c r="EV115" s="44">
        <f t="shared" si="44"/>
        <v>23710.084033613446</v>
      </c>
      <c r="EW115" s="44">
        <f t="shared" si="45"/>
        <v>148500</v>
      </c>
      <c r="EX115" s="103">
        <f t="shared" si="46"/>
        <v>594000</v>
      </c>
      <c r="EY115" s="26" t="s">
        <v>220</v>
      </c>
    </row>
    <row r="116" spans="1:155" ht="94.9" x14ac:dyDescent="0.35">
      <c r="A116" s="27">
        <v>101</v>
      </c>
      <c r="B116" s="145" t="s">
        <v>266</v>
      </c>
      <c r="C116" s="145" t="s">
        <v>377</v>
      </c>
      <c r="D116" s="26" t="s">
        <v>17</v>
      </c>
      <c r="E116" s="26">
        <v>8</v>
      </c>
      <c r="F116" s="63"/>
      <c r="G116" s="125"/>
      <c r="H116" s="17"/>
      <c r="I116" s="18"/>
      <c r="J116" s="18"/>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19"/>
      <c r="BU116" s="19"/>
      <c r="BV116" s="19"/>
      <c r="BW116" s="19"/>
      <c r="BX116" s="19"/>
      <c r="BY116" s="19"/>
      <c r="BZ116" s="48"/>
      <c r="CA116" s="48"/>
      <c r="CB116" s="48"/>
      <c r="CC116" s="19"/>
      <c r="CD116" s="19"/>
      <c r="CE116" s="19"/>
      <c r="CF116" s="19"/>
      <c r="CG116" s="19"/>
      <c r="CH116" s="19"/>
      <c r="CI116" s="19"/>
      <c r="CJ116" s="19"/>
      <c r="CK116" s="19"/>
      <c r="CL116" s="19"/>
      <c r="CM116" s="19"/>
      <c r="CN116" s="19"/>
      <c r="CO116" s="19"/>
      <c r="CP116" s="19"/>
      <c r="CQ116" s="19"/>
      <c r="CR116" s="19"/>
      <c r="CS116" s="19"/>
      <c r="CT116" s="19"/>
      <c r="CU116" s="19"/>
      <c r="CV116" s="19"/>
      <c r="CW116" s="19"/>
      <c r="CX116" s="19"/>
      <c r="CY116" s="19"/>
      <c r="CZ116" s="19"/>
      <c r="DA116" s="19"/>
      <c r="DB116" s="19"/>
      <c r="DC116" s="19"/>
      <c r="DD116" s="19"/>
      <c r="DE116" s="19"/>
      <c r="DF116" s="19"/>
      <c r="DG116" s="19"/>
      <c r="DH116" s="19"/>
      <c r="DI116" s="19"/>
      <c r="DJ116" s="19"/>
      <c r="DK116" s="19"/>
      <c r="DL116" s="19"/>
      <c r="DM116" s="19"/>
      <c r="DN116" s="44"/>
      <c r="DO116" s="22"/>
      <c r="DP116" s="118">
        <v>10500</v>
      </c>
      <c r="DQ116" s="117">
        <v>11305</v>
      </c>
      <c r="DR116" s="201">
        <v>19635</v>
      </c>
      <c r="DS116" s="23"/>
      <c r="DT116" s="119">
        <v>14280</v>
      </c>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45">
        <f>MEDIAN(DP116,DQ116,DR116,DT116)</f>
        <v>12792.5</v>
      </c>
      <c r="ER116" s="45">
        <f>AVERAGE(DP116,DQ116,DR116,DT116)</f>
        <v>13930</v>
      </c>
      <c r="ES116" s="45">
        <f>+STDEV(DP116,DQ116,DR116,DT116)</f>
        <v>4136.2241235213551</v>
      </c>
      <c r="ET116" s="46">
        <f t="shared" ref="ET116" si="48">ES116/ER116</f>
        <v>0.2969292263834426</v>
      </c>
      <c r="EU116" s="44">
        <f t="shared" si="43"/>
        <v>10750.420168067227</v>
      </c>
      <c r="EV116" s="44">
        <f t="shared" si="44"/>
        <v>2042.579831932773</v>
      </c>
      <c r="EW116" s="44">
        <f t="shared" si="45"/>
        <v>12793</v>
      </c>
      <c r="EX116" s="103">
        <f t="shared" si="46"/>
        <v>102344</v>
      </c>
      <c r="EY116" s="26" t="s">
        <v>220</v>
      </c>
    </row>
    <row r="117" spans="1:155" ht="149.25" x14ac:dyDescent="0.35">
      <c r="A117" s="27">
        <v>102</v>
      </c>
      <c r="B117" s="145" t="s">
        <v>268</v>
      </c>
      <c r="C117" s="145" t="s">
        <v>378</v>
      </c>
      <c r="D117" s="26" t="s">
        <v>34</v>
      </c>
      <c r="E117" s="26">
        <v>2</v>
      </c>
      <c r="F117" s="63"/>
      <c r="G117" s="125"/>
      <c r="H117" s="17"/>
      <c r="I117" s="18"/>
      <c r="J117" s="18"/>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c r="AR117" s="19"/>
      <c r="AS117" s="19"/>
      <c r="AT117" s="19"/>
      <c r="AU117" s="19"/>
      <c r="AV117" s="19"/>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19"/>
      <c r="BU117" s="118">
        <v>5200</v>
      </c>
      <c r="BV117" s="19"/>
      <c r="BW117" s="19"/>
      <c r="BX117" s="19"/>
      <c r="BY117" s="19"/>
      <c r="BZ117" s="48"/>
      <c r="CA117" s="48"/>
      <c r="CB117" s="48"/>
      <c r="CC117" s="19"/>
      <c r="CD117" s="19"/>
      <c r="CE117" s="19"/>
      <c r="CF117" s="19"/>
      <c r="CG117" s="19"/>
      <c r="CH117" s="19"/>
      <c r="CI117" s="19"/>
      <c r="CJ117" s="19"/>
      <c r="CK117" s="19"/>
      <c r="CL117" s="19"/>
      <c r="CM117" s="19"/>
      <c r="CN117" s="19"/>
      <c r="CO117" s="19"/>
      <c r="CP117" s="19"/>
      <c r="CQ117" s="19"/>
      <c r="CR117" s="19"/>
      <c r="CS117" s="19"/>
      <c r="CT117" s="19"/>
      <c r="CU117" s="19"/>
      <c r="CV117" s="19"/>
      <c r="CW117" s="19"/>
      <c r="CX117" s="19"/>
      <c r="CY117" s="19"/>
      <c r="CZ117" s="19"/>
      <c r="DA117" s="19"/>
      <c r="DB117" s="19"/>
      <c r="DC117" s="19"/>
      <c r="DD117" s="19"/>
      <c r="DE117" s="19"/>
      <c r="DF117" s="19"/>
      <c r="DG117" s="19"/>
      <c r="DH117" s="19"/>
      <c r="DI117" s="19"/>
      <c r="DJ117" s="19"/>
      <c r="DK117" s="19"/>
      <c r="DL117" s="19"/>
      <c r="DM117" s="19"/>
      <c r="DN117" s="44"/>
      <c r="DO117" s="22"/>
      <c r="DP117" s="118">
        <v>5200</v>
      </c>
      <c r="DQ117" s="117">
        <v>5950</v>
      </c>
      <c r="DR117" s="23"/>
      <c r="DS117" s="23"/>
      <c r="DT117" s="23"/>
      <c r="DU117" s="23"/>
      <c r="DV117" s="23"/>
      <c r="DW117" s="119">
        <v>4165</v>
      </c>
      <c r="DX117" s="23"/>
      <c r="DY117" s="23"/>
      <c r="DZ117" s="23"/>
      <c r="EA117" s="23"/>
      <c r="EB117" s="23"/>
      <c r="EC117" s="23"/>
      <c r="ED117" s="23"/>
      <c r="EE117" s="23"/>
      <c r="EF117" s="23"/>
      <c r="EG117" s="23"/>
      <c r="EH117" s="23"/>
      <c r="EI117" s="23"/>
      <c r="EJ117" s="23"/>
      <c r="EK117" s="23"/>
      <c r="EL117" s="23"/>
      <c r="EM117" s="23"/>
      <c r="EN117" s="23"/>
      <c r="EO117" s="23"/>
      <c r="EP117" s="23"/>
      <c r="EQ117" s="45">
        <f>MEDIAN(DP117,DQ117,DW117)</f>
        <v>5200</v>
      </c>
      <c r="ER117" s="45">
        <f>AVERAGE(DP117,DQ117,DW117)</f>
        <v>5105</v>
      </c>
      <c r="ES117" s="45">
        <f>+STDEV(DP117,DQ117,DW117)</f>
        <v>896.28399517117339</v>
      </c>
      <c r="ET117" s="46">
        <f t="shared" ref="ET117:ET122" si="49">ES117/ER117</f>
        <v>0.1755698325506706</v>
      </c>
      <c r="EU117" s="44">
        <f t="shared" si="43"/>
        <v>4369.7478991596645</v>
      </c>
      <c r="EV117" s="44">
        <f t="shared" si="44"/>
        <v>830.25210084033631</v>
      </c>
      <c r="EW117" s="44">
        <f t="shared" si="45"/>
        <v>5200</v>
      </c>
      <c r="EX117" s="103">
        <f t="shared" si="46"/>
        <v>10400</v>
      </c>
      <c r="EY117" s="26" t="s">
        <v>220</v>
      </c>
    </row>
    <row r="118" spans="1:155" ht="130.5" customHeight="1" x14ac:dyDescent="0.35">
      <c r="A118" s="26">
        <v>103</v>
      </c>
      <c r="B118" s="64" t="s">
        <v>69</v>
      </c>
      <c r="C118" s="75" t="s">
        <v>261</v>
      </c>
      <c r="D118" s="26" t="s">
        <v>38</v>
      </c>
      <c r="E118" s="26">
        <v>8</v>
      </c>
      <c r="F118" s="63"/>
      <c r="G118" s="125"/>
      <c r="H118" s="17"/>
      <c r="I118" s="18"/>
      <c r="J118" s="18"/>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48">
        <v>295000</v>
      </c>
      <c r="CA118" s="48">
        <v>340000</v>
      </c>
      <c r="CB118" s="48">
        <v>250000</v>
      </c>
      <c r="CC118" s="26"/>
      <c r="CD118" s="19"/>
      <c r="CE118" s="19"/>
      <c r="CF118" s="19"/>
      <c r="CG118" s="19"/>
      <c r="CH118" s="19"/>
      <c r="CI118" s="19"/>
      <c r="CJ118" s="19"/>
      <c r="CK118" s="19"/>
      <c r="CL118" s="19"/>
      <c r="CM118" s="19"/>
      <c r="CN118" s="19"/>
      <c r="CO118" s="19"/>
      <c r="CP118" s="19"/>
      <c r="CQ118" s="19"/>
      <c r="CR118" s="19"/>
      <c r="CS118" s="19"/>
      <c r="CT118" s="19"/>
      <c r="CU118" s="19"/>
      <c r="CV118" s="19"/>
      <c r="CW118" s="19"/>
      <c r="CX118" s="19"/>
      <c r="CY118" s="19"/>
      <c r="CZ118" s="19"/>
      <c r="DA118" s="19"/>
      <c r="DB118" s="19"/>
      <c r="DC118" s="19"/>
      <c r="DD118" s="19"/>
      <c r="DE118" s="19"/>
      <c r="DF118" s="19"/>
      <c r="DG118" s="19"/>
      <c r="DH118" s="19"/>
      <c r="DI118" s="19"/>
      <c r="DJ118" s="19"/>
      <c r="DK118" s="19"/>
      <c r="DL118" s="19"/>
      <c r="DM118" s="19"/>
      <c r="DN118" s="44"/>
      <c r="DO118" s="22"/>
      <c r="DP118" s="23"/>
      <c r="DQ118" s="23"/>
      <c r="DR118" s="23"/>
      <c r="DS118" s="23"/>
      <c r="DT118" s="23"/>
      <c r="DU118" s="23"/>
      <c r="DV118" s="23"/>
      <c r="DW118" s="23"/>
      <c r="DX118" s="23"/>
      <c r="DY118" s="23"/>
      <c r="DZ118" s="23"/>
      <c r="EA118" s="23"/>
      <c r="EB118" s="23"/>
      <c r="EC118" s="23"/>
      <c r="ED118" s="23"/>
      <c r="EE118" s="23"/>
      <c r="EF118" s="23">
        <v>160000</v>
      </c>
      <c r="EG118" s="23"/>
      <c r="EH118" s="23"/>
      <c r="EI118" s="23"/>
      <c r="EJ118" s="23"/>
      <c r="EK118" s="23"/>
      <c r="EL118" s="23"/>
      <c r="EM118" s="23"/>
      <c r="EN118" s="23"/>
      <c r="EO118" s="23"/>
      <c r="EP118" s="23"/>
      <c r="EQ118" s="45">
        <f>MEDIAN(BZ118,CA118,CB118,EF118)</f>
        <v>272500</v>
      </c>
      <c r="ER118" s="45">
        <f>AVERAGE(BZ118,CA118,CB118,EF118)</f>
        <v>261250</v>
      </c>
      <c r="ES118" s="45">
        <f>+STDEV(BZ118,CA118,CB118,EF118)</f>
        <v>76852.130744696988</v>
      </c>
      <c r="ET118" s="46">
        <f t="shared" si="49"/>
        <v>0.29417083538639993</v>
      </c>
      <c r="EU118" s="44">
        <f t="shared" si="43"/>
        <v>228991.59663865546</v>
      </c>
      <c r="EV118" s="44">
        <f t="shared" si="44"/>
        <v>43508.403361344535</v>
      </c>
      <c r="EW118" s="44">
        <f t="shared" si="45"/>
        <v>272500</v>
      </c>
      <c r="EX118" s="103">
        <f t="shared" si="46"/>
        <v>2180000</v>
      </c>
      <c r="EY118" s="26" t="s">
        <v>316</v>
      </c>
    </row>
    <row r="119" spans="1:155" ht="174.75" customHeight="1" x14ac:dyDescent="0.35">
      <c r="A119" s="27">
        <v>104</v>
      </c>
      <c r="B119" s="145" t="s">
        <v>147</v>
      </c>
      <c r="C119" s="64" t="s">
        <v>148</v>
      </c>
      <c r="D119" s="41" t="s">
        <v>17</v>
      </c>
      <c r="E119" s="26">
        <v>80</v>
      </c>
      <c r="F119" s="63"/>
      <c r="G119" s="125"/>
      <c r="H119" s="17"/>
      <c r="I119" s="18"/>
      <c r="J119" s="18"/>
      <c r="K119" s="19"/>
      <c r="L119" s="19"/>
      <c r="M119" s="19"/>
      <c r="N119" s="19"/>
      <c r="O119" s="19"/>
      <c r="P119" s="19"/>
      <c r="Q119" s="16">
        <v>15500</v>
      </c>
      <c r="R119" s="16">
        <f>+(Q119*5.1%)+Q119</f>
        <v>16290.5</v>
      </c>
      <c r="S119" s="49">
        <v>16000</v>
      </c>
      <c r="T119" s="48">
        <f>+(S119*5.1%)+S119</f>
        <v>16816</v>
      </c>
      <c r="U119" s="19"/>
      <c r="V119" s="19"/>
      <c r="W119" s="19"/>
      <c r="X119" s="19"/>
      <c r="Y119" s="19"/>
      <c r="Z119" s="19"/>
      <c r="AA119" s="51">
        <v>17000</v>
      </c>
      <c r="AB119" s="51">
        <v>17867</v>
      </c>
      <c r="AC119" s="48">
        <v>15500</v>
      </c>
      <c r="AD119" s="48">
        <v>16291</v>
      </c>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19"/>
      <c r="BU119" s="19"/>
      <c r="BV119" s="19"/>
      <c r="BW119" s="19"/>
      <c r="BX119" s="19"/>
      <c r="BY119" s="19"/>
      <c r="BZ119" s="19"/>
      <c r="CA119" s="19"/>
      <c r="CB119" s="19"/>
      <c r="CC119" s="19"/>
      <c r="CD119" s="19"/>
      <c r="CE119" s="19"/>
      <c r="CF119" s="19"/>
      <c r="CG119" s="19"/>
      <c r="CH119" s="19"/>
      <c r="CI119" s="19"/>
      <c r="CJ119" s="19"/>
      <c r="CK119" s="19"/>
      <c r="CL119" s="19"/>
      <c r="CM119" s="19"/>
      <c r="CN119" s="19"/>
      <c r="CO119" s="19"/>
      <c r="CP119" s="19"/>
      <c r="CQ119" s="19"/>
      <c r="CR119" s="19"/>
      <c r="CS119" s="19"/>
      <c r="CT119" s="19"/>
      <c r="CU119" s="19"/>
      <c r="CV119" s="19"/>
      <c r="CW119" s="19"/>
      <c r="CX119" s="19"/>
      <c r="CY119" s="19"/>
      <c r="CZ119" s="19"/>
      <c r="DA119" s="19"/>
      <c r="DB119" s="19"/>
      <c r="DC119" s="19"/>
      <c r="DD119" s="19"/>
      <c r="DE119" s="19"/>
      <c r="DF119" s="19"/>
      <c r="DG119" s="19"/>
      <c r="DH119" s="19"/>
      <c r="DI119" s="19"/>
      <c r="DJ119" s="19"/>
      <c r="DK119" s="19"/>
      <c r="DL119" s="19"/>
      <c r="DM119" s="19"/>
      <c r="DN119" s="44"/>
      <c r="DO119" s="22"/>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45">
        <f>MEDIAN(AB119,AD119,R119,T119)</f>
        <v>16553.5</v>
      </c>
      <c r="ER119" s="45">
        <f>AVERAGE(AB119,AD119,R119,T119)</f>
        <v>16816.125</v>
      </c>
      <c r="ES119" s="45">
        <f>+STDEV(AB119,AD119,R119,T119)</f>
        <v>743.0514086073274</v>
      </c>
      <c r="ET119" s="46">
        <f t="shared" si="49"/>
        <v>4.4186839037372014E-2</v>
      </c>
      <c r="EU119" s="44">
        <f>EW119/1.08</f>
        <v>15571.296296296296</v>
      </c>
      <c r="EV119" s="44">
        <f>EU119*8%</f>
        <v>1245.7037037037037</v>
      </c>
      <c r="EW119" s="44">
        <f t="shared" si="45"/>
        <v>16817</v>
      </c>
      <c r="EX119" s="103">
        <f t="shared" si="46"/>
        <v>1345360</v>
      </c>
      <c r="EY119" s="26" t="s">
        <v>109</v>
      </c>
    </row>
    <row r="120" spans="1:155" ht="40.5" x14ac:dyDescent="0.35">
      <c r="A120" s="27">
        <v>105</v>
      </c>
      <c r="B120" s="145" t="s">
        <v>44</v>
      </c>
      <c r="C120" s="64" t="s">
        <v>241</v>
      </c>
      <c r="D120" s="41" t="s">
        <v>17</v>
      </c>
      <c r="E120" s="26">
        <v>80</v>
      </c>
      <c r="F120" s="63"/>
      <c r="G120" s="125"/>
      <c r="H120" s="17"/>
      <c r="I120" s="18"/>
      <c r="J120" s="18"/>
      <c r="K120" s="19"/>
      <c r="L120" s="19"/>
      <c r="M120" s="19"/>
      <c r="N120" s="19"/>
      <c r="O120" s="19"/>
      <c r="P120" s="19"/>
      <c r="Q120" s="19"/>
      <c r="R120" s="19"/>
      <c r="S120" s="19"/>
      <c r="T120" s="19"/>
      <c r="U120" s="48">
        <v>3000</v>
      </c>
      <c r="V120" s="48">
        <v>3153</v>
      </c>
      <c r="W120" s="48">
        <v>2000</v>
      </c>
      <c r="X120" s="48">
        <v>2102</v>
      </c>
      <c r="Y120" s="48">
        <v>2000</v>
      </c>
      <c r="Z120" s="48">
        <v>2102</v>
      </c>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19"/>
      <c r="BU120" s="19"/>
      <c r="BV120" s="19"/>
      <c r="BW120" s="19"/>
      <c r="BX120" s="19"/>
      <c r="BY120" s="19"/>
      <c r="BZ120" s="19"/>
      <c r="CA120" s="19"/>
      <c r="CB120" s="19"/>
      <c r="CC120" s="19"/>
      <c r="CD120" s="19"/>
      <c r="CE120" s="19"/>
      <c r="CF120" s="19"/>
      <c r="CG120" s="19"/>
      <c r="CH120" s="19"/>
      <c r="CI120" s="19"/>
      <c r="CJ120" s="19"/>
      <c r="CK120" s="19"/>
      <c r="CL120" s="19"/>
      <c r="CM120" s="19"/>
      <c r="CN120" s="19"/>
      <c r="CO120" s="19"/>
      <c r="CP120" s="19"/>
      <c r="CQ120" s="19"/>
      <c r="CR120" s="19"/>
      <c r="CS120" s="19"/>
      <c r="CT120" s="19"/>
      <c r="CU120" s="19"/>
      <c r="CV120" s="19"/>
      <c r="CW120" s="19"/>
      <c r="CX120" s="19"/>
      <c r="CY120" s="19"/>
      <c r="CZ120" s="19"/>
      <c r="DA120" s="19"/>
      <c r="DB120" s="19"/>
      <c r="DC120" s="19"/>
      <c r="DD120" s="19"/>
      <c r="DE120" s="19"/>
      <c r="DF120" s="19"/>
      <c r="DG120" s="19"/>
      <c r="DH120" s="19"/>
      <c r="DI120" s="19"/>
      <c r="DJ120" s="19"/>
      <c r="DK120" s="19"/>
      <c r="DL120" s="19"/>
      <c r="DM120" s="19"/>
      <c r="DN120" s="44"/>
      <c r="DO120" s="22"/>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45">
        <f>MEDIAN(V120,X120,Z120)</f>
        <v>2102</v>
      </c>
      <c r="ER120" s="45">
        <f>AVERAGE(V120,X120,Z120)</f>
        <v>2452.3333333333335</v>
      </c>
      <c r="ES120" s="45">
        <f>+STDEV(V120,X120,Z120)</f>
        <v>606.79513291829721</v>
      </c>
      <c r="ET120" s="46">
        <f t="shared" si="49"/>
        <v>0.24743582965269695</v>
      </c>
      <c r="EU120" s="44">
        <v>2102</v>
      </c>
      <c r="EV120" s="44">
        <v>0</v>
      </c>
      <c r="EW120" s="44">
        <v>2102</v>
      </c>
      <c r="EX120" s="103">
        <f t="shared" si="46"/>
        <v>168160</v>
      </c>
      <c r="EY120" s="26" t="s">
        <v>220</v>
      </c>
    </row>
    <row r="121" spans="1:155" ht="121.9" x14ac:dyDescent="0.35">
      <c r="A121" s="26">
        <v>106</v>
      </c>
      <c r="B121" s="143" t="s">
        <v>277</v>
      </c>
      <c r="C121" s="143" t="s">
        <v>275</v>
      </c>
      <c r="D121" s="26" t="s">
        <v>17</v>
      </c>
      <c r="E121" s="26">
        <v>42</v>
      </c>
      <c r="F121" s="63"/>
      <c r="G121" s="125"/>
      <c r="H121" s="17"/>
      <c r="I121" s="18"/>
      <c r="J121" s="18"/>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19"/>
      <c r="BU121" s="19"/>
      <c r="BV121" s="19"/>
      <c r="BW121" s="19"/>
      <c r="BX121" s="19"/>
      <c r="BY121" s="19"/>
      <c r="BZ121" s="19"/>
      <c r="CA121" s="19"/>
      <c r="CB121" s="19"/>
      <c r="CC121" s="19"/>
      <c r="CD121" s="19"/>
      <c r="CE121" s="19"/>
      <c r="CF121" s="19"/>
      <c r="CG121" s="19"/>
      <c r="CH121" s="19"/>
      <c r="CI121" s="19"/>
      <c r="CJ121" s="19"/>
      <c r="CK121" s="19"/>
      <c r="CL121" s="19"/>
      <c r="CM121" s="19"/>
      <c r="CN121" s="19"/>
      <c r="CO121" s="19"/>
      <c r="CP121" s="19"/>
      <c r="CQ121" s="19"/>
      <c r="CR121" s="19"/>
      <c r="CS121" s="19"/>
      <c r="CT121" s="19"/>
      <c r="CU121" s="19"/>
      <c r="CV121" s="19"/>
      <c r="CW121" s="19"/>
      <c r="CX121" s="19"/>
      <c r="CY121" s="19"/>
      <c r="CZ121" s="19"/>
      <c r="DA121" s="19"/>
      <c r="DB121" s="19"/>
      <c r="DC121" s="19"/>
      <c r="DD121" s="19"/>
      <c r="DE121" s="19"/>
      <c r="DF121" s="19"/>
      <c r="DG121" s="19"/>
      <c r="DH121" s="19"/>
      <c r="DI121" s="19"/>
      <c r="DJ121" s="19"/>
      <c r="DK121" s="19"/>
      <c r="DL121" s="19"/>
      <c r="DM121" s="19"/>
      <c r="DN121" s="44">
        <v>21420</v>
      </c>
      <c r="DO121" s="22"/>
      <c r="DP121" s="52"/>
      <c r="DQ121" s="52"/>
      <c r="DR121" s="52"/>
      <c r="DS121" s="52"/>
      <c r="DT121" s="52"/>
      <c r="DU121" s="52"/>
      <c r="DV121" s="52"/>
      <c r="DW121" s="52"/>
      <c r="DX121" s="52"/>
      <c r="DY121" s="52"/>
      <c r="DZ121" s="52"/>
      <c r="EA121" s="52"/>
      <c r="EB121" s="52"/>
      <c r="EC121" s="52"/>
      <c r="ED121" s="52"/>
      <c r="EE121" s="52"/>
      <c r="EF121" s="52">
        <v>15000</v>
      </c>
      <c r="EG121" s="52"/>
      <c r="EH121" s="52"/>
      <c r="EI121" s="52"/>
      <c r="EJ121" s="52"/>
      <c r="EK121" s="52"/>
      <c r="EL121" s="52"/>
      <c r="EM121" s="52"/>
      <c r="EN121" s="52"/>
      <c r="EO121" s="52"/>
      <c r="EP121" s="52"/>
      <c r="EQ121" s="45">
        <f>MEDIAN(DN121,DP121,EF121)</f>
        <v>18210</v>
      </c>
      <c r="ER121" s="45">
        <f>AVERAGE(DN121,DP121,EF121)</f>
        <v>18210</v>
      </c>
      <c r="ES121" s="45">
        <f>+STDEV(DN121,DP121,EF121)</f>
        <v>4539.6255352176349</v>
      </c>
      <c r="ET121" s="46">
        <f t="shared" si="49"/>
        <v>0.24929300028652582</v>
      </c>
      <c r="EU121" s="44">
        <f>EW121/1.19</f>
        <v>15302.521008403362</v>
      </c>
      <c r="EV121" s="44">
        <f>EU121*19%</f>
        <v>2907.4789915966389</v>
      </c>
      <c r="EW121" s="44">
        <f>+ROUNDUP(IF(ET121&lt;15%,ER121,EQ121),0)</f>
        <v>18210</v>
      </c>
      <c r="EX121" s="103">
        <f t="shared" si="46"/>
        <v>764820</v>
      </c>
      <c r="EY121" s="26" t="s">
        <v>219</v>
      </c>
    </row>
    <row r="122" spans="1:155" ht="69.75" customHeight="1" x14ac:dyDescent="0.35">
      <c r="A122" s="27">
        <v>107</v>
      </c>
      <c r="B122" s="141" t="s">
        <v>22</v>
      </c>
      <c r="C122" s="143" t="s">
        <v>275</v>
      </c>
      <c r="D122" s="26" t="s">
        <v>17</v>
      </c>
      <c r="E122" s="26">
        <v>38</v>
      </c>
      <c r="F122" s="63"/>
      <c r="G122" s="125"/>
      <c r="H122" s="17"/>
      <c r="I122" s="18"/>
      <c r="J122" s="18"/>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19"/>
      <c r="BU122" s="19"/>
      <c r="BV122" s="19"/>
      <c r="BW122" s="19"/>
      <c r="BX122" s="19"/>
      <c r="BY122" s="19"/>
      <c r="BZ122" s="19"/>
      <c r="CA122" s="19"/>
      <c r="CB122" s="19"/>
      <c r="CC122" s="19"/>
      <c r="CD122" s="19"/>
      <c r="CE122" s="19"/>
      <c r="CF122" s="19"/>
      <c r="CG122" s="19"/>
      <c r="CH122" s="19"/>
      <c r="CI122" s="19"/>
      <c r="CJ122" s="19"/>
      <c r="CK122" s="19"/>
      <c r="CL122" s="19"/>
      <c r="CM122" s="19"/>
      <c r="CN122" s="19"/>
      <c r="CO122" s="19"/>
      <c r="CP122" s="19"/>
      <c r="CQ122" s="19"/>
      <c r="CR122" s="19"/>
      <c r="CS122" s="19"/>
      <c r="CT122" s="19"/>
      <c r="CU122" s="19"/>
      <c r="CV122" s="19"/>
      <c r="CW122" s="19"/>
      <c r="CX122" s="19"/>
      <c r="CY122" s="19"/>
      <c r="CZ122" s="19"/>
      <c r="DA122" s="19"/>
      <c r="DB122" s="19"/>
      <c r="DC122" s="19"/>
      <c r="DD122" s="19"/>
      <c r="DE122" s="19"/>
      <c r="DF122" s="19"/>
      <c r="DG122" s="19"/>
      <c r="DH122" s="19"/>
      <c r="DI122" s="19"/>
      <c r="DJ122" s="19"/>
      <c r="DK122" s="19"/>
      <c r="DL122" s="19"/>
      <c r="DM122" s="19"/>
      <c r="DN122" s="44">
        <v>21420</v>
      </c>
      <c r="DO122" s="22"/>
      <c r="DP122" s="52"/>
      <c r="DQ122" s="52"/>
      <c r="DR122" s="52"/>
      <c r="DS122" s="52"/>
      <c r="DT122" s="52"/>
      <c r="DU122" s="52"/>
      <c r="DV122" s="52"/>
      <c r="DW122" s="52"/>
      <c r="DX122" s="52"/>
      <c r="DY122" s="52"/>
      <c r="DZ122" s="52"/>
      <c r="EA122" s="52"/>
      <c r="EB122" s="52"/>
      <c r="EC122" s="52"/>
      <c r="ED122" s="52"/>
      <c r="EE122" s="52"/>
      <c r="EF122" s="52">
        <v>15000</v>
      </c>
      <c r="EG122" s="52"/>
      <c r="EH122" s="52"/>
      <c r="EI122" s="52"/>
      <c r="EJ122" s="52"/>
      <c r="EK122" s="52"/>
      <c r="EL122" s="52"/>
      <c r="EM122" s="52"/>
      <c r="EN122" s="52"/>
      <c r="EO122" s="52"/>
      <c r="EP122" s="52"/>
      <c r="EQ122" s="45">
        <f>MEDIAN(DN122,DP122,EF122)</f>
        <v>18210</v>
      </c>
      <c r="ER122" s="45">
        <f>AVERAGE(DN122,DP122,EF122)</f>
        <v>18210</v>
      </c>
      <c r="ES122" s="45">
        <f>+STDEV(DN122,DP122,EF122)</f>
        <v>4539.6255352176349</v>
      </c>
      <c r="ET122" s="46">
        <f t="shared" si="49"/>
        <v>0.24929300028652582</v>
      </c>
      <c r="EU122" s="44">
        <f>EW122/1.19</f>
        <v>15302.521008403362</v>
      </c>
      <c r="EV122" s="44">
        <f>EU122*19%</f>
        <v>2907.4789915966389</v>
      </c>
      <c r="EW122" s="44">
        <f>+ROUNDUP(IF(ET122&lt;15%,ER122,EQ122),0)</f>
        <v>18210</v>
      </c>
      <c r="EX122" s="103">
        <f t="shared" si="46"/>
        <v>691980</v>
      </c>
      <c r="EY122" s="26" t="s">
        <v>219</v>
      </c>
    </row>
    <row r="123" spans="1:155" ht="108" customHeight="1" x14ac:dyDescent="0.35">
      <c r="A123" s="27">
        <v>108</v>
      </c>
      <c r="B123" s="142" t="s">
        <v>393</v>
      </c>
      <c r="C123" s="142" t="s">
        <v>394</v>
      </c>
      <c r="D123" s="34" t="s">
        <v>17</v>
      </c>
      <c r="E123" s="34">
        <v>4</v>
      </c>
      <c r="F123" s="90"/>
      <c r="G123" s="128"/>
      <c r="H123" s="36"/>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7"/>
      <c r="AP123" s="37"/>
      <c r="AQ123" s="37"/>
      <c r="AR123" s="37"/>
      <c r="AS123" s="37"/>
      <c r="AT123" s="37"/>
      <c r="AU123" s="37"/>
      <c r="AV123" s="37"/>
      <c r="AW123" s="37"/>
      <c r="AX123" s="37"/>
      <c r="AY123" s="37"/>
      <c r="AZ123" s="37"/>
      <c r="BA123" s="37"/>
      <c r="BB123" s="37"/>
      <c r="BC123" s="37"/>
      <c r="BD123" s="37"/>
      <c r="BE123" s="37"/>
      <c r="BF123" s="37"/>
      <c r="BG123" s="37"/>
      <c r="BH123" s="37"/>
      <c r="BI123" s="37"/>
      <c r="BJ123" s="37"/>
      <c r="BK123" s="37"/>
      <c r="BL123" s="37"/>
      <c r="BM123" s="37"/>
      <c r="BN123" s="37"/>
      <c r="BO123" s="37"/>
      <c r="BP123" s="37"/>
      <c r="BQ123" s="37"/>
      <c r="BR123" s="37"/>
      <c r="BS123" s="37"/>
      <c r="BT123" s="37"/>
      <c r="BU123" s="37"/>
      <c r="BV123" s="37"/>
      <c r="BW123" s="37"/>
      <c r="BX123" s="37"/>
      <c r="BY123" s="37"/>
      <c r="BZ123" s="37"/>
      <c r="CA123" s="37"/>
      <c r="CB123" s="37"/>
      <c r="CC123" s="37"/>
      <c r="CD123" s="37"/>
      <c r="CE123" s="37"/>
      <c r="CF123" s="37"/>
      <c r="CG123" s="37"/>
      <c r="CH123" s="37"/>
      <c r="CI123" s="37"/>
      <c r="CJ123" s="37"/>
      <c r="CK123" s="37"/>
      <c r="CL123" s="37"/>
      <c r="CM123" s="37"/>
      <c r="CN123" s="37"/>
      <c r="CO123" s="37"/>
      <c r="CP123" s="37"/>
      <c r="CQ123" s="37"/>
      <c r="CR123" s="37"/>
      <c r="CS123" s="37"/>
      <c r="CT123" s="37"/>
      <c r="CU123" s="37"/>
      <c r="CV123" s="37"/>
      <c r="CW123" s="37"/>
      <c r="CX123" s="37"/>
      <c r="CY123" s="37"/>
      <c r="CZ123" s="37"/>
      <c r="DA123" s="37"/>
      <c r="DB123" s="37"/>
      <c r="DC123" s="37"/>
      <c r="DD123" s="37"/>
      <c r="DE123" s="37"/>
      <c r="DF123" s="37"/>
      <c r="DG123" s="37"/>
      <c r="DH123" s="37"/>
      <c r="DI123" s="37"/>
      <c r="DJ123" s="37"/>
      <c r="DK123" s="37"/>
      <c r="DL123" s="37"/>
      <c r="DM123" s="37"/>
      <c r="DN123" s="40"/>
      <c r="DO123" s="78"/>
      <c r="DP123" s="79"/>
      <c r="DQ123" s="79"/>
      <c r="DR123" s="79"/>
      <c r="DS123" s="79"/>
      <c r="DT123" s="79"/>
      <c r="DU123" s="79"/>
      <c r="DV123" s="79"/>
      <c r="DW123" s="79"/>
      <c r="DX123" s="79"/>
      <c r="DY123" s="79"/>
      <c r="DZ123" s="79"/>
      <c r="EA123" s="79"/>
      <c r="EB123" s="79"/>
      <c r="EC123" s="79"/>
      <c r="ED123" s="79"/>
      <c r="EE123" s="79"/>
      <c r="EF123" s="79"/>
      <c r="EG123" s="79"/>
      <c r="EH123" s="79"/>
      <c r="EI123" s="79"/>
      <c r="EJ123" s="79"/>
      <c r="EK123" s="79"/>
      <c r="EL123" s="79"/>
      <c r="EM123" s="79"/>
      <c r="EN123" s="79"/>
      <c r="EO123" s="79"/>
      <c r="EP123" s="79"/>
      <c r="EQ123" s="35"/>
      <c r="ER123" s="35"/>
      <c r="ES123" s="35"/>
      <c r="ET123" s="80"/>
      <c r="EU123" s="38">
        <v>300000</v>
      </c>
      <c r="EV123" s="40">
        <v>0</v>
      </c>
      <c r="EW123" s="38">
        <v>300000</v>
      </c>
      <c r="EX123" s="38">
        <f t="shared" si="46"/>
        <v>1200000</v>
      </c>
      <c r="EY123" s="34" t="s">
        <v>227</v>
      </c>
    </row>
    <row r="124" spans="1:155" ht="104.25" customHeight="1" x14ac:dyDescent="0.35">
      <c r="A124" s="26">
        <v>109</v>
      </c>
      <c r="B124" s="130" t="s">
        <v>298</v>
      </c>
      <c r="C124" s="130" t="s">
        <v>228</v>
      </c>
      <c r="D124" s="27" t="s">
        <v>392</v>
      </c>
      <c r="E124" s="27">
        <v>4</v>
      </c>
      <c r="F124" s="81"/>
      <c r="G124" s="125"/>
      <c r="H124" s="17"/>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44"/>
      <c r="DO124" s="82"/>
      <c r="DP124" s="83"/>
      <c r="DQ124" s="83"/>
      <c r="DR124" s="83"/>
      <c r="DS124" s="83"/>
      <c r="DT124" s="83"/>
      <c r="DU124" s="83"/>
      <c r="DV124" s="83"/>
      <c r="DW124" s="83"/>
      <c r="DX124" s="83"/>
      <c r="DY124" s="83"/>
      <c r="DZ124" s="83"/>
      <c r="EA124" s="83"/>
      <c r="EB124" s="83"/>
      <c r="EC124" s="83"/>
      <c r="ED124" s="83"/>
      <c r="EE124" s="83"/>
      <c r="EF124" s="83"/>
      <c r="EG124" s="83"/>
      <c r="EH124" s="83"/>
      <c r="EI124" s="83"/>
      <c r="EJ124" s="83"/>
      <c r="EK124" s="83"/>
      <c r="EL124" s="83"/>
      <c r="EM124" s="83"/>
      <c r="EN124" s="83"/>
      <c r="EO124" s="83"/>
      <c r="EP124" s="83"/>
      <c r="EQ124" s="84"/>
      <c r="ER124" s="84"/>
      <c r="ES124" s="84"/>
      <c r="ET124" s="71"/>
      <c r="EU124" s="44">
        <f>+EW123*10%</f>
        <v>30000</v>
      </c>
      <c r="EV124" s="44">
        <f>+EU124*19%</f>
        <v>5700</v>
      </c>
      <c r="EW124" s="85">
        <f>+((EU124*7%)+EV124)+EU124</f>
        <v>37800</v>
      </c>
      <c r="EX124" s="86">
        <f t="shared" si="46"/>
        <v>151200</v>
      </c>
      <c r="EY124" s="26" t="s">
        <v>374</v>
      </c>
    </row>
    <row r="125" spans="1:155" ht="76.5" customHeight="1" x14ac:dyDescent="0.35">
      <c r="A125" s="27">
        <v>110</v>
      </c>
      <c r="B125" s="142" t="s">
        <v>70</v>
      </c>
      <c r="C125" s="142" t="s">
        <v>394</v>
      </c>
      <c r="D125" s="34" t="s">
        <v>17</v>
      </c>
      <c r="E125" s="34">
        <v>4</v>
      </c>
      <c r="F125" s="77"/>
      <c r="G125" s="128"/>
      <c r="H125" s="36"/>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7"/>
      <c r="AP125" s="37"/>
      <c r="AQ125" s="37"/>
      <c r="AR125" s="37"/>
      <c r="AS125" s="37"/>
      <c r="AT125" s="37"/>
      <c r="AU125" s="37"/>
      <c r="AV125" s="37"/>
      <c r="AW125" s="37"/>
      <c r="AX125" s="37"/>
      <c r="AY125" s="37"/>
      <c r="AZ125" s="37"/>
      <c r="BA125" s="37"/>
      <c r="BB125" s="37"/>
      <c r="BC125" s="37"/>
      <c r="BD125" s="37"/>
      <c r="BE125" s="37"/>
      <c r="BF125" s="37"/>
      <c r="BG125" s="37"/>
      <c r="BH125" s="37"/>
      <c r="BI125" s="37"/>
      <c r="BJ125" s="37"/>
      <c r="BK125" s="37"/>
      <c r="BL125" s="37"/>
      <c r="BM125" s="37"/>
      <c r="BN125" s="37"/>
      <c r="BO125" s="37"/>
      <c r="BP125" s="37"/>
      <c r="BQ125" s="37"/>
      <c r="BR125" s="37"/>
      <c r="BS125" s="37"/>
      <c r="BT125" s="37"/>
      <c r="BU125" s="37"/>
      <c r="BV125" s="37"/>
      <c r="BW125" s="37"/>
      <c r="BX125" s="37"/>
      <c r="BY125" s="37"/>
      <c r="BZ125" s="37"/>
      <c r="CA125" s="37"/>
      <c r="CB125" s="37"/>
      <c r="CC125" s="37"/>
      <c r="CD125" s="37"/>
      <c r="CE125" s="37"/>
      <c r="CF125" s="37"/>
      <c r="CG125" s="37"/>
      <c r="CH125" s="37"/>
      <c r="CI125" s="37"/>
      <c r="CJ125" s="37"/>
      <c r="CK125" s="37"/>
      <c r="CL125" s="37"/>
      <c r="CM125" s="37"/>
      <c r="CN125" s="37"/>
      <c r="CO125" s="37"/>
      <c r="CP125" s="37"/>
      <c r="CQ125" s="37"/>
      <c r="CR125" s="37"/>
      <c r="CS125" s="37"/>
      <c r="CT125" s="37"/>
      <c r="CU125" s="37"/>
      <c r="CV125" s="37"/>
      <c r="CW125" s="37"/>
      <c r="CX125" s="37"/>
      <c r="CY125" s="37"/>
      <c r="CZ125" s="37"/>
      <c r="DA125" s="37"/>
      <c r="DB125" s="37"/>
      <c r="DC125" s="37"/>
      <c r="DD125" s="37"/>
      <c r="DE125" s="37"/>
      <c r="DF125" s="37"/>
      <c r="DG125" s="37"/>
      <c r="DH125" s="37"/>
      <c r="DI125" s="37"/>
      <c r="DJ125" s="37"/>
      <c r="DK125" s="37"/>
      <c r="DL125" s="37"/>
      <c r="DM125" s="37"/>
      <c r="DN125" s="40"/>
      <c r="DO125" s="78"/>
      <c r="DP125" s="79"/>
      <c r="DQ125" s="79"/>
      <c r="DR125" s="79"/>
      <c r="DS125" s="79"/>
      <c r="DT125" s="79"/>
      <c r="DU125" s="79"/>
      <c r="DV125" s="79"/>
      <c r="DW125" s="79"/>
      <c r="DX125" s="79"/>
      <c r="DY125" s="79"/>
      <c r="DZ125" s="79"/>
      <c r="EA125" s="79"/>
      <c r="EB125" s="79"/>
      <c r="EC125" s="79"/>
      <c r="ED125" s="79"/>
      <c r="EE125" s="79"/>
      <c r="EF125" s="79"/>
      <c r="EG125" s="79"/>
      <c r="EH125" s="79"/>
      <c r="EI125" s="79"/>
      <c r="EJ125" s="79"/>
      <c r="EK125" s="79"/>
      <c r="EL125" s="79"/>
      <c r="EM125" s="79"/>
      <c r="EN125" s="79"/>
      <c r="EO125" s="79"/>
      <c r="EP125" s="79"/>
      <c r="EQ125" s="35"/>
      <c r="ER125" s="35"/>
      <c r="ES125" s="35"/>
      <c r="ET125" s="80"/>
      <c r="EU125" s="38">
        <v>300000</v>
      </c>
      <c r="EV125" s="40">
        <v>0</v>
      </c>
      <c r="EW125" s="38">
        <v>300000</v>
      </c>
      <c r="EX125" s="38">
        <f t="shared" si="46"/>
        <v>1200000</v>
      </c>
      <c r="EY125" s="34" t="s">
        <v>227</v>
      </c>
    </row>
    <row r="126" spans="1:155" ht="104.25" customHeight="1" x14ac:dyDescent="0.35">
      <c r="A126" s="27">
        <v>111</v>
      </c>
      <c r="B126" s="130" t="s">
        <v>298</v>
      </c>
      <c r="C126" s="130" t="s">
        <v>228</v>
      </c>
      <c r="D126" s="27" t="s">
        <v>392</v>
      </c>
      <c r="E126" s="27">
        <v>4</v>
      </c>
      <c r="F126" s="81"/>
      <c r="G126" s="125"/>
      <c r="H126" s="17"/>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44"/>
      <c r="DO126" s="82"/>
      <c r="DP126" s="83"/>
      <c r="DQ126" s="83"/>
      <c r="DR126" s="83"/>
      <c r="DS126" s="83"/>
      <c r="DT126" s="83"/>
      <c r="DU126" s="83"/>
      <c r="DV126" s="83"/>
      <c r="DW126" s="83"/>
      <c r="DX126" s="83"/>
      <c r="DY126" s="83"/>
      <c r="DZ126" s="83"/>
      <c r="EA126" s="83"/>
      <c r="EB126" s="83"/>
      <c r="EC126" s="83"/>
      <c r="ED126" s="83"/>
      <c r="EE126" s="83"/>
      <c r="EF126" s="83"/>
      <c r="EG126" s="83"/>
      <c r="EH126" s="83"/>
      <c r="EI126" s="83"/>
      <c r="EJ126" s="83"/>
      <c r="EK126" s="83"/>
      <c r="EL126" s="83"/>
      <c r="EM126" s="83"/>
      <c r="EN126" s="83"/>
      <c r="EO126" s="83"/>
      <c r="EP126" s="83"/>
      <c r="EQ126" s="84"/>
      <c r="ER126" s="84"/>
      <c r="ES126" s="84"/>
      <c r="ET126" s="71"/>
      <c r="EU126" s="44">
        <f>+EW125*10%</f>
        <v>30000</v>
      </c>
      <c r="EV126" s="44">
        <f>+EU126*19%</f>
        <v>5700</v>
      </c>
      <c r="EW126" s="85">
        <f>+((EU126*7%)+EV126)+EU126</f>
        <v>37800</v>
      </c>
      <c r="EX126" s="86">
        <f t="shared" si="46"/>
        <v>151200</v>
      </c>
      <c r="EY126" s="26" t="s">
        <v>374</v>
      </c>
    </row>
    <row r="127" spans="1:155" ht="76.5" customHeight="1" x14ac:dyDescent="0.35">
      <c r="A127" s="26">
        <v>112</v>
      </c>
      <c r="B127" s="142" t="s">
        <v>71</v>
      </c>
      <c r="C127" s="142" t="s">
        <v>229</v>
      </c>
      <c r="D127" s="34" t="s">
        <v>17</v>
      </c>
      <c r="E127" s="34">
        <v>4</v>
      </c>
      <c r="F127" s="77"/>
      <c r="G127" s="128"/>
      <c r="H127" s="36"/>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7"/>
      <c r="AP127" s="37"/>
      <c r="AQ127" s="37"/>
      <c r="AR127" s="37"/>
      <c r="AS127" s="37"/>
      <c r="AT127" s="37"/>
      <c r="AU127" s="37"/>
      <c r="AV127" s="37"/>
      <c r="AW127" s="37"/>
      <c r="AX127" s="37"/>
      <c r="AY127" s="37"/>
      <c r="AZ127" s="37"/>
      <c r="BA127" s="37"/>
      <c r="BB127" s="37"/>
      <c r="BC127" s="37"/>
      <c r="BD127" s="37"/>
      <c r="BE127" s="37"/>
      <c r="BF127" s="37"/>
      <c r="BG127" s="37"/>
      <c r="BH127" s="37"/>
      <c r="BI127" s="37"/>
      <c r="BJ127" s="37"/>
      <c r="BK127" s="37"/>
      <c r="BL127" s="37"/>
      <c r="BM127" s="37"/>
      <c r="BN127" s="37"/>
      <c r="BO127" s="37"/>
      <c r="BP127" s="37"/>
      <c r="BQ127" s="37"/>
      <c r="BR127" s="37"/>
      <c r="BS127" s="37"/>
      <c r="BT127" s="37"/>
      <c r="BU127" s="37"/>
      <c r="BV127" s="37"/>
      <c r="BW127" s="37"/>
      <c r="BX127" s="37"/>
      <c r="BY127" s="37"/>
      <c r="BZ127" s="37"/>
      <c r="CA127" s="37"/>
      <c r="CB127" s="37"/>
      <c r="CC127" s="37"/>
      <c r="CD127" s="37"/>
      <c r="CE127" s="37"/>
      <c r="CF127" s="37"/>
      <c r="CG127" s="37"/>
      <c r="CH127" s="37"/>
      <c r="CI127" s="37"/>
      <c r="CJ127" s="37"/>
      <c r="CK127" s="37"/>
      <c r="CL127" s="37"/>
      <c r="CM127" s="37"/>
      <c r="CN127" s="37"/>
      <c r="CO127" s="37"/>
      <c r="CP127" s="37"/>
      <c r="CQ127" s="37"/>
      <c r="CR127" s="37"/>
      <c r="CS127" s="37"/>
      <c r="CT127" s="37"/>
      <c r="CU127" s="37"/>
      <c r="CV127" s="37"/>
      <c r="CW127" s="37"/>
      <c r="CX127" s="37"/>
      <c r="CY127" s="37"/>
      <c r="CZ127" s="37"/>
      <c r="DA127" s="37"/>
      <c r="DB127" s="37"/>
      <c r="DC127" s="37"/>
      <c r="DD127" s="37"/>
      <c r="DE127" s="37"/>
      <c r="DF127" s="37"/>
      <c r="DG127" s="37"/>
      <c r="DH127" s="37"/>
      <c r="DI127" s="37"/>
      <c r="DJ127" s="37"/>
      <c r="DK127" s="37"/>
      <c r="DL127" s="37"/>
      <c r="DM127" s="37"/>
      <c r="DN127" s="40"/>
      <c r="DO127" s="78"/>
      <c r="DP127" s="79"/>
      <c r="DQ127" s="79"/>
      <c r="DR127" s="79"/>
      <c r="DS127" s="79"/>
      <c r="DT127" s="79"/>
      <c r="DU127" s="79"/>
      <c r="DV127" s="79"/>
      <c r="DW127" s="79"/>
      <c r="DX127" s="79"/>
      <c r="DY127" s="79"/>
      <c r="DZ127" s="79"/>
      <c r="EA127" s="79"/>
      <c r="EB127" s="79"/>
      <c r="EC127" s="79"/>
      <c r="ED127" s="79"/>
      <c r="EE127" s="79"/>
      <c r="EF127" s="79"/>
      <c r="EG127" s="79"/>
      <c r="EH127" s="79"/>
      <c r="EI127" s="79"/>
      <c r="EJ127" s="79"/>
      <c r="EK127" s="79"/>
      <c r="EL127" s="79"/>
      <c r="EM127" s="79"/>
      <c r="EN127" s="79"/>
      <c r="EO127" s="79"/>
      <c r="EP127" s="79"/>
      <c r="EQ127" s="35"/>
      <c r="ER127" s="35"/>
      <c r="ES127" s="35"/>
      <c r="ET127" s="80"/>
      <c r="EU127" s="38">
        <v>150000</v>
      </c>
      <c r="EV127" s="40">
        <v>0</v>
      </c>
      <c r="EW127" s="38">
        <v>150000</v>
      </c>
      <c r="EX127" s="38">
        <f t="shared" si="46"/>
        <v>600000</v>
      </c>
      <c r="EY127" s="34" t="s">
        <v>227</v>
      </c>
    </row>
    <row r="128" spans="1:155" ht="104.25" customHeight="1" x14ac:dyDescent="0.35">
      <c r="A128" s="27">
        <v>113</v>
      </c>
      <c r="B128" s="130" t="s">
        <v>298</v>
      </c>
      <c r="C128" s="130" t="s">
        <v>228</v>
      </c>
      <c r="D128" s="27" t="s">
        <v>392</v>
      </c>
      <c r="E128" s="27">
        <v>2</v>
      </c>
      <c r="F128" s="81"/>
      <c r="G128" s="125"/>
      <c r="H128" s="17"/>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44"/>
      <c r="DO128" s="82"/>
      <c r="DP128" s="83"/>
      <c r="DQ128" s="83"/>
      <c r="DR128" s="83"/>
      <c r="DS128" s="83"/>
      <c r="DT128" s="83"/>
      <c r="DU128" s="83"/>
      <c r="DV128" s="83"/>
      <c r="DW128" s="83"/>
      <c r="DX128" s="83"/>
      <c r="DY128" s="83"/>
      <c r="DZ128" s="83"/>
      <c r="EA128" s="83"/>
      <c r="EB128" s="83"/>
      <c r="EC128" s="83"/>
      <c r="ED128" s="83"/>
      <c r="EE128" s="83"/>
      <c r="EF128" s="83"/>
      <c r="EG128" s="83"/>
      <c r="EH128" s="83"/>
      <c r="EI128" s="83"/>
      <c r="EJ128" s="83"/>
      <c r="EK128" s="83"/>
      <c r="EL128" s="83"/>
      <c r="EM128" s="83"/>
      <c r="EN128" s="83"/>
      <c r="EO128" s="83"/>
      <c r="EP128" s="83"/>
      <c r="EQ128" s="84"/>
      <c r="ER128" s="84"/>
      <c r="ES128" s="84"/>
      <c r="ET128" s="71"/>
      <c r="EU128" s="44">
        <f>+EW127*10%</f>
        <v>15000</v>
      </c>
      <c r="EV128" s="44">
        <f>+EU128*19%</f>
        <v>2850</v>
      </c>
      <c r="EW128" s="85">
        <f>+((EU128*7%)+EV128)+EU128</f>
        <v>18900</v>
      </c>
      <c r="EX128" s="86">
        <f t="shared" si="46"/>
        <v>37800</v>
      </c>
      <c r="EY128" s="26" t="s">
        <v>374</v>
      </c>
    </row>
    <row r="129" spans="1:155" ht="76.5" customHeight="1" x14ac:dyDescent="0.35">
      <c r="A129" s="27">
        <v>114</v>
      </c>
      <c r="B129" s="142" t="s">
        <v>72</v>
      </c>
      <c r="C129" s="142" t="s">
        <v>229</v>
      </c>
      <c r="D129" s="34" t="s">
        <v>17</v>
      </c>
      <c r="E129" s="34">
        <v>4</v>
      </c>
      <c r="F129" s="77"/>
      <c r="G129" s="128"/>
      <c r="H129" s="36"/>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7"/>
      <c r="AP129" s="37"/>
      <c r="AQ129" s="37"/>
      <c r="AR129" s="37"/>
      <c r="AS129" s="37"/>
      <c r="AT129" s="37"/>
      <c r="AU129" s="37"/>
      <c r="AV129" s="37"/>
      <c r="AW129" s="37"/>
      <c r="AX129" s="37"/>
      <c r="AY129" s="37"/>
      <c r="AZ129" s="37"/>
      <c r="BA129" s="37"/>
      <c r="BB129" s="37"/>
      <c r="BC129" s="37"/>
      <c r="BD129" s="37"/>
      <c r="BE129" s="37"/>
      <c r="BF129" s="37"/>
      <c r="BG129" s="37"/>
      <c r="BH129" s="37"/>
      <c r="BI129" s="37"/>
      <c r="BJ129" s="37"/>
      <c r="BK129" s="37"/>
      <c r="BL129" s="37"/>
      <c r="BM129" s="37"/>
      <c r="BN129" s="37"/>
      <c r="BO129" s="37"/>
      <c r="BP129" s="37"/>
      <c r="BQ129" s="37"/>
      <c r="BR129" s="37"/>
      <c r="BS129" s="37"/>
      <c r="BT129" s="37"/>
      <c r="BU129" s="37"/>
      <c r="BV129" s="37"/>
      <c r="BW129" s="37"/>
      <c r="BX129" s="37"/>
      <c r="BY129" s="37"/>
      <c r="BZ129" s="37"/>
      <c r="CA129" s="37"/>
      <c r="CB129" s="37"/>
      <c r="CC129" s="37"/>
      <c r="CD129" s="37"/>
      <c r="CE129" s="37"/>
      <c r="CF129" s="37"/>
      <c r="CG129" s="37"/>
      <c r="CH129" s="37"/>
      <c r="CI129" s="37"/>
      <c r="CJ129" s="37"/>
      <c r="CK129" s="37"/>
      <c r="CL129" s="37"/>
      <c r="CM129" s="37"/>
      <c r="CN129" s="37"/>
      <c r="CO129" s="37"/>
      <c r="CP129" s="37"/>
      <c r="CQ129" s="37"/>
      <c r="CR129" s="37"/>
      <c r="CS129" s="37"/>
      <c r="CT129" s="37"/>
      <c r="CU129" s="37"/>
      <c r="CV129" s="37"/>
      <c r="CW129" s="37"/>
      <c r="CX129" s="37"/>
      <c r="CY129" s="37"/>
      <c r="CZ129" s="37"/>
      <c r="DA129" s="37"/>
      <c r="DB129" s="37"/>
      <c r="DC129" s="37"/>
      <c r="DD129" s="37"/>
      <c r="DE129" s="37"/>
      <c r="DF129" s="37"/>
      <c r="DG129" s="37"/>
      <c r="DH129" s="37"/>
      <c r="DI129" s="37"/>
      <c r="DJ129" s="37"/>
      <c r="DK129" s="37"/>
      <c r="DL129" s="37"/>
      <c r="DM129" s="37"/>
      <c r="DN129" s="40"/>
      <c r="DO129" s="78"/>
      <c r="DP129" s="79"/>
      <c r="DQ129" s="79"/>
      <c r="DR129" s="79"/>
      <c r="DS129" s="79"/>
      <c r="DT129" s="79"/>
      <c r="DU129" s="79"/>
      <c r="DV129" s="79"/>
      <c r="DW129" s="79"/>
      <c r="DX129" s="79"/>
      <c r="DY129" s="79"/>
      <c r="DZ129" s="79"/>
      <c r="EA129" s="79"/>
      <c r="EB129" s="79"/>
      <c r="EC129" s="79"/>
      <c r="ED129" s="79"/>
      <c r="EE129" s="79"/>
      <c r="EF129" s="79"/>
      <c r="EG129" s="79"/>
      <c r="EH129" s="79"/>
      <c r="EI129" s="79"/>
      <c r="EJ129" s="79"/>
      <c r="EK129" s="79"/>
      <c r="EL129" s="79"/>
      <c r="EM129" s="79"/>
      <c r="EN129" s="79"/>
      <c r="EO129" s="79"/>
      <c r="EP129" s="79"/>
      <c r="EQ129" s="35"/>
      <c r="ER129" s="35"/>
      <c r="ES129" s="35"/>
      <c r="ET129" s="80"/>
      <c r="EU129" s="38">
        <v>150000</v>
      </c>
      <c r="EV129" s="40">
        <v>0</v>
      </c>
      <c r="EW129" s="38">
        <v>150000</v>
      </c>
      <c r="EX129" s="38">
        <f t="shared" si="46"/>
        <v>600000</v>
      </c>
      <c r="EY129" s="34" t="s">
        <v>297</v>
      </c>
    </row>
    <row r="130" spans="1:155" ht="104.25" customHeight="1" x14ac:dyDescent="0.35">
      <c r="A130" s="26">
        <v>115</v>
      </c>
      <c r="B130" s="130" t="s">
        <v>298</v>
      </c>
      <c r="C130" s="130" t="s">
        <v>228</v>
      </c>
      <c r="D130" s="27" t="s">
        <v>392</v>
      </c>
      <c r="E130" s="27">
        <v>2</v>
      </c>
      <c r="F130" s="81"/>
      <c r="G130" s="125"/>
      <c r="H130" s="17"/>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44"/>
      <c r="DO130" s="82"/>
      <c r="DP130" s="83"/>
      <c r="DQ130" s="83"/>
      <c r="DR130" s="83"/>
      <c r="DS130" s="83"/>
      <c r="DT130" s="83"/>
      <c r="DU130" s="83"/>
      <c r="DV130" s="83"/>
      <c r="DW130" s="83"/>
      <c r="DX130" s="83"/>
      <c r="DY130" s="83"/>
      <c r="DZ130" s="83"/>
      <c r="EA130" s="83"/>
      <c r="EB130" s="83"/>
      <c r="EC130" s="83"/>
      <c r="ED130" s="83"/>
      <c r="EE130" s="83"/>
      <c r="EF130" s="83"/>
      <c r="EG130" s="83"/>
      <c r="EH130" s="83"/>
      <c r="EI130" s="83"/>
      <c r="EJ130" s="83"/>
      <c r="EK130" s="83"/>
      <c r="EL130" s="83"/>
      <c r="EM130" s="83"/>
      <c r="EN130" s="83"/>
      <c r="EO130" s="83"/>
      <c r="EP130" s="83"/>
      <c r="EQ130" s="84"/>
      <c r="ER130" s="84"/>
      <c r="ES130" s="84"/>
      <c r="ET130" s="71"/>
      <c r="EU130" s="44">
        <f>+EW129*10%</f>
        <v>15000</v>
      </c>
      <c r="EV130" s="44">
        <f>+EU130*19%</f>
        <v>2850</v>
      </c>
      <c r="EW130" s="85">
        <f>+((EU130*7%)+EV130)+EU130</f>
        <v>18900</v>
      </c>
      <c r="EX130" s="86">
        <f t="shared" si="46"/>
        <v>37800</v>
      </c>
      <c r="EY130" s="26" t="s">
        <v>374</v>
      </c>
    </row>
    <row r="131" spans="1:155" ht="76.5" customHeight="1" x14ac:dyDescent="0.35">
      <c r="A131" s="27">
        <v>116</v>
      </c>
      <c r="B131" s="142" t="s">
        <v>73</v>
      </c>
      <c r="C131" s="142" t="s">
        <v>262</v>
      </c>
      <c r="D131" s="34" t="s">
        <v>17</v>
      </c>
      <c r="E131" s="34">
        <v>2</v>
      </c>
      <c r="F131" s="77"/>
      <c r="G131" s="128"/>
      <c r="H131" s="36"/>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7"/>
      <c r="AP131" s="37"/>
      <c r="AQ131" s="37"/>
      <c r="AR131" s="37"/>
      <c r="AS131" s="37"/>
      <c r="AT131" s="37"/>
      <c r="AU131" s="37"/>
      <c r="AV131" s="37"/>
      <c r="AW131" s="37"/>
      <c r="AX131" s="37"/>
      <c r="AY131" s="37"/>
      <c r="AZ131" s="37"/>
      <c r="BA131" s="37"/>
      <c r="BB131" s="37"/>
      <c r="BC131" s="37"/>
      <c r="BD131" s="37"/>
      <c r="BE131" s="37"/>
      <c r="BF131" s="37"/>
      <c r="BG131" s="37"/>
      <c r="BH131" s="37"/>
      <c r="BI131" s="37"/>
      <c r="BJ131" s="37"/>
      <c r="BK131" s="37"/>
      <c r="BL131" s="37"/>
      <c r="BM131" s="37"/>
      <c r="BN131" s="37"/>
      <c r="BO131" s="37"/>
      <c r="BP131" s="37"/>
      <c r="BQ131" s="37"/>
      <c r="BR131" s="37"/>
      <c r="BS131" s="37"/>
      <c r="BT131" s="37"/>
      <c r="BU131" s="37"/>
      <c r="BV131" s="37"/>
      <c r="BW131" s="37"/>
      <c r="BX131" s="37"/>
      <c r="BY131" s="37"/>
      <c r="BZ131" s="37"/>
      <c r="CA131" s="37"/>
      <c r="CB131" s="37"/>
      <c r="CC131" s="37"/>
      <c r="CD131" s="37"/>
      <c r="CE131" s="37"/>
      <c r="CF131" s="37"/>
      <c r="CG131" s="37"/>
      <c r="CH131" s="37"/>
      <c r="CI131" s="37"/>
      <c r="CJ131" s="37"/>
      <c r="CK131" s="37"/>
      <c r="CL131" s="37"/>
      <c r="CM131" s="37"/>
      <c r="CN131" s="37"/>
      <c r="CO131" s="37"/>
      <c r="CP131" s="37"/>
      <c r="CQ131" s="37"/>
      <c r="CR131" s="37"/>
      <c r="CS131" s="37"/>
      <c r="CT131" s="37"/>
      <c r="CU131" s="37"/>
      <c r="CV131" s="37"/>
      <c r="CW131" s="37"/>
      <c r="CX131" s="37"/>
      <c r="CY131" s="37"/>
      <c r="CZ131" s="37"/>
      <c r="DA131" s="37"/>
      <c r="DB131" s="37"/>
      <c r="DC131" s="37"/>
      <c r="DD131" s="37"/>
      <c r="DE131" s="37"/>
      <c r="DF131" s="37"/>
      <c r="DG131" s="37"/>
      <c r="DH131" s="37"/>
      <c r="DI131" s="37"/>
      <c r="DJ131" s="37"/>
      <c r="DK131" s="37"/>
      <c r="DL131" s="37"/>
      <c r="DM131" s="37"/>
      <c r="DN131" s="40"/>
      <c r="DO131" s="78"/>
      <c r="DP131" s="79"/>
      <c r="DQ131" s="79"/>
      <c r="DR131" s="79"/>
      <c r="DS131" s="79"/>
      <c r="DT131" s="79"/>
      <c r="DU131" s="79"/>
      <c r="DV131" s="79"/>
      <c r="DW131" s="79"/>
      <c r="DX131" s="79"/>
      <c r="DY131" s="79"/>
      <c r="DZ131" s="79"/>
      <c r="EA131" s="79"/>
      <c r="EB131" s="79"/>
      <c r="EC131" s="79"/>
      <c r="ED131" s="79"/>
      <c r="EE131" s="79"/>
      <c r="EF131" s="79"/>
      <c r="EG131" s="79"/>
      <c r="EH131" s="79"/>
      <c r="EI131" s="79"/>
      <c r="EJ131" s="79"/>
      <c r="EK131" s="79"/>
      <c r="EL131" s="79"/>
      <c r="EM131" s="79"/>
      <c r="EN131" s="79"/>
      <c r="EO131" s="79"/>
      <c r="EP131" s="79"/>
      <c r="EQ131" s="35"/>
      <c r="ER131" s="35"/>
      <c r="ES131" s="35"/>
      <c r="ET131" s="80"/>
      <c r="EU131" s="38">
        <v>300000</v>
      </c>
      <c r="EV131" s="40">
        <v>0</v>
      </c>
      <c r="EW131" s="38">
        <v>300000</v>
      </c>
      <c r="EX131" s="38">
        <f t="shared" si="46"/>
        <v>600000</v>
      </c>
      <c r="EY131" s="34" t="s">
        <v>227</v>
      </c>
    </row>
    <row r="132" spans="1:155" ht="104.25" customHeight="1" x14ac:dyDescent="0.35">
      <c r="A132" s="27">
        <v>117</v>
      </c>
      <c r="B132" s="130" t="s">
        <v>298</v>
      </c>
      <c r="C132" s="130" t="s">
        <v>228</v>
      </c>
      <c r="D132" s="27" t="s">
        <v>392</v>
      </c>
      <c r="E132" s="27">
        <v>2</v>
      </c>
      <c r="F132" s="81"/>
      <c r="G132" s="125"/>
      <c r="H132" s="17"/>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44"/>
      <c r="DO132" s="82"/>
      <c r="DP132" s="83"/>
      <c r="DQ132" s="83"/>
      <c r="DR132" s="83"/>
      <c r="DS132" s="83"/>
      <c r="DT132" s="83"/>
      <c r="DU132" s="83"/>
      <c r="DV132" s="83"/>
      <c r="DW132" s="83"/>
      <c r="DX132" s="83"/>
      <c r="DY132" s="83"/>
      <c r="DZ132" s="83"/>
      <c r="EA132" s="83"/>
      <c r="EB132" s="83"/>
      <c r="EC132" s="83"/>
      <c r="ED132" s="83"/>
      <c r="EE132" s="83"/>
      <c r="EF132" s="83"/>
      <c r="EG132" s="83"/>
      <c r="EH132" s="83"/>
      <c r="EI132" s="83"/>
      <c r="EJ132" s="83"/>
      <c r="EK132" s="83"/>
      <c r="EL132" s="83"/>
      <c r="EM132" s="83"/>
      <c r="EN132" s="83"/>
      <c r="EO132" s="83"/>
      <c r="EP132" s="83"/>
      <c r="EQ132" s="84"/>
      <c r="ER132" s="84"/>
      <c r="ES132" s="84"/>
      <c r="ET132" s="71"/>
      <c r="EU132" s="44">
        <f>+EW131*10%</f>
        <v>30000</v>
      </c>
      <c r="EV132" s="44">
        <f>+EU132*19%</f>
        <v>5700</v>
      </c>
      <c r="EW132" s="85">
        <f>+((EU132*7%)+EV132)+EU132</f>
        <v>37800</v>
      </c>
      <c r="EX132" s="86">
        <f t="shared" si="46"/>
        <v>75600</v>
      </c>
      <c r="EY132" s="26" t="s">
        <v>374</v>
      </c>
    </row>
    <row r="133" spans="1:155" ht="76.5" customHeight="1" x14ac:dyDescent="0.35">
      <c r="A133" s="26">
        <v>118</v>
      </c>
      <c r="B133" s="142" t="s">
        <v>74</v>
      </c>
      <c r="C133" s="142" t="s">
        <v>262</v>
      </c>
      <c r="D133" s="34" t="s">
        <v>17</v>
      </c>
      <c r="E133" s="34">
        <v>2</v>
      </c>
      <c r="F133" s="77"/>
      <c r="G133" s="128"/>
      <c r="H133" s="36"/>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c r="AY133" s="37"/>
      <c r="AZ133" s="37"/>
      <c r="BA133" s="37"/>
      <c r="BB133" s="37"/>
      <c r="BC133" s="37"/>
      <c r="BD133" s="37"/>
      <c r="BE133" s="37"/>
      <c r="BF133" s="37"/>
      <c r="BG133" s="37"/>
      <c r="BH133" s="37"/>
      <c r="BI133" s="37"/>
      <c r="BJ133" s="37"/>
      <c r="BK133" s="37"/>
      <c r="BL133" s="37"/>
      <c r="BM133" s="37"/>
      <c r="BN133" s="37"/>
      <c r="BO133" s="37"/>
      <c r="BP133" s="37"/>
      <c r="BQ133" s="37"/>
      <c r="BR133" s="37"/>
      <c r="BS133" s="37"/>
      <c r="BT133" s="37"/>
      <c r="BU133" s="37"/>
      <c r="BV133" s="37"/>
      <c r="BW133" s="37"/>
      <c r="BX133" s="37"/>
      <c r="BY133" s="37"/>
      <c r="BZ133" s="37"/>
      <c r="CA133" s="37"/>
      <c r="CB133" s="37"/>
      <c r="CC133" s="37"/>
      <c r="CD133" s="37"/>
      <c r="CE133" s="37"/>
      <c r="CF133" s="37"/>
      <c r="CG133" s="37"/>
      <c r="CH133" s="37"/>
      <c r="CI133" s="37"/>
      <c r="CJ133" s="37"/>
      <c r="CK133" s="37"/>
      <c r="CL133" s="37"/>
      <c r="CM133" s="37"/>
      <c r="CN133" s="37"/>
      <c r="CO133" s="37"/>
      <c r="CP133" s="37"/>
      <c r="CQ133" s="37"/>
      <c r="CR133" s="37"/>
      <c r="CS133" s="37"/>
      <c r="CT133" s="37"/>
      <c r="CU133" s="37"/>
      <c r="CV133" s="37"/>
      <c r="CW133" s="37"/>
      <c r="CX133" s="37"/>
      <c r="CY133" s="37"/>
      <c r="CZ133" s="37"/>
      <c r="DA133" s="37"/>
      <c r="DB133" s="37"/>
      <c r="DC133" s="37"/>
      <c r="DD133" s="37"/>
      <c r="DE133" s="37"/>
      <c r="DF133" s="37"/>
      <c r="DG133" s="37"/>
      <c r="DH133" s="37"/>
      <c r="DI133" s="37"/>
      <c r="DJ133" s="37"/>
      <c r="DK133" s="37"/>
      <c r="DL133" s="37"/>
      <c r="DM133" s="37"/>
      <c r="DN133" s="40"/>
      <c r="DO133" s="78"/>
      <c r="DP133" s="79"/>
      <c r="DQ133" s="79"/>
      <c r="DR133" s="79"/>
      <c r="DS133" s="79"/>
      <c r="DT133" s="79"/>
      <c r="DU133" s="79"/>
      <c r="DV133" s="79"/>
      <c r="DW133" s="79"/>
      <c r="DX133" s="79"/>
      <c r="DY133" s="79"/>
      <c r="DZ133" s="79"/>
      <c r="EA133" s="79"/>
      <c r="EB133" s="79"/>
      <c r="EC133" s="79"/>
      <c r="ED133" s="79"/>
      <c r="EE133" s="79"/>
      <c r="EF133" s="79"/>
      <c r="EG133" s="79"/>
      <c r="EH133" s="79"/>
      <c r="EI133" s="79"/>
      <c r="EJ133" s="79"/>
      <c r="EK133" s="79"/>
      <c r="EL133" s="79"/>
      <c r="EM133" s="79"/>
      <c r="EN133" s="79"/>
      <c r="EO133" s="79"/>
      <c r="EP133" s="79"/>
      <c r="EQ133" s="35"/>
      <c r="ER133" s="35"/>
      <c r="ES133" s="35"/>
      <c r="ET133" s="80"/>
      <c r="EU133" s="38">
        <v>300000</v>
      </c>
      <c r="EV133" s="40">
        <v>0</v>
      </c>
      <c r="EW133" s="38">
        <v>300000</v>
      </c>
      <c r="EX133" s="38">
        <f t="shared" si="46"/>
        <v>600000</v>
      </c>
      <c r="EY133" s="34" t="s">
        <v>227</v>
      </c>
    </row>
    <row r="134" spans="1:155" ht="104.25" customHeight="1" x14ac:dyDescent="0.35">
      <c r="A134" s="27">
        <v>119</v>
      </c>
      <c r="B134" s="130" t="s">
        <v>298</v>
      </c>
      <c r="C134" s="130" t="s">
        <v>228</v>
      </c>
      <c r="D134" s="27" t="s">
        <v>392</v>
      </c>
      <c r="E134" s="27">
        <v>2</v>
      </c>
      <c r="F134" s="81"/>
      <c r="G134" s="125"/>
      <c r="H134" s="17"/>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44"/>
      <c r="DO134" s="82"/>
      <c r="DP134" s="83"/>
      <c r="DQ134" s="83"/>
      <c r="DR134" s="83"/>
      <c r="DS134" s="83"/>
      <c r="DT134" s="83"/>
      <c r="DU134" s="83"/>
      <c r="DV134" s="83"/>
      <c r="DW134" s="83"/>
      <c r="DX134" s="83"/>
      <c r="DY134" s="83"/>
      <c r="DZ134" s="83"/>
      <c r="EA134" s="83"/>
      <c r="EB134" s="83"/>
      <c r="EC134" s="83"/>
      <c r="ED134" s="83"/>
      <c r="EE134" s="83"/>
      <c r="EF134" s="83"/>
      <c r="EG134" s="83"/>
      <c r="EH134" s="83"/>
      <c r="EI134" s="83"/>
      <c r="EJ134" s="83"/>
      <c r="EK134" s="83"/>
      <c r="EL134" s="83"/>
      <c r="EM134" s="83"/>
      <c r="EN134" s="83"/>
      <c r="EO134" s="83"/>
      <c r="EP134" s="83"/>
      <c r="EQ134" s="84"/>
      <c r="ER134" s="84"/>
      <c r="ES134" s="84"/>
      <c r="ET134" s="71"/>
      <c r="EU134" s="44">
        <f>+EW133*10%</f>
        <v>30000</v>
      </c>
      <c r="EV134" s="44">
        <f>+EU134*19%</f>
        <v>5700</v>
      </c>
      <c r="EW134" s="85">
        <f>+((EU134*7%)+EV134)+EU134</f>
        <v>37800</v>
      </c>
      <c r="EX134" s="86">
        <f t="shared" si="46"/>
        <v>75600</v>
      </c>
      <c r="EY134" s="26" t="s">
        <v>374</v>
      </c>
    </row>
    <row r="135" spans="1:155" ht="76.5" customHeight="1" x14ac:dyDescent="0.35">
      <c r="A135" s="27">
        <v>120</v>
      </c>
      <c r="B135" s="142" t="s">
        <v>75</v>
      </c>
      <c r="C135" s="142" t="s">
        <v>262</v>
      </c>
      <c r="D135" s="34" t="s">
        <v>17</v>
      </c>
      <c r="E135" s="34">
        <v>2</v>
      </c>
      <c r="F135" s="77"/>
      <c r="G135" s="128"/>
      <c r="H135" s="36"/>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c r="AY135" s="37"/>
      <c r="AZ135" s="37"/>
      <c r="BA135" s="37"/>
      <c r="BB135" s="37"/>
      <c r="BC135" s="37"/>
      <c r="BD135" s="37"/>
      <c r="BE135" s="37"/>
      <c r="BF135" s="37"/>
      <c r="BG135" s="37"/>
      <c r="BH135" s="37"/>
      <c r="BI135" s="37"/>
      <c r="BJ135" s="37"/>
      <c r="BK135" s="37"/>
      <c r="BL135" s="37"/>
      <c r="BM135" s="37"/>
      <c r="BN135" s="37"/>
      <c r="BO135" s="37"/>
      <c r="BP135" s="37"/>
      <c r="BQ135" s="37"/>
      <c r="BR135" s="37"/>
      <c r="BS135" s="37"/>
      <c r="BT135" s="37"/>
      <c r="BU135" s="37"/>
      <c r="BV135" s="37"/>
      <c r="BW135" s="37"/>
      <c r="BX135" s="37"/>
      <c r="BY135" s="37"/>
      <c r="BZ135" s="37"/>
      <c r="CA135" s="37"/>
      <c r="CB135" s="37"/>
      <c r="CC135" s="37"/>
      <c r="CD135" s="37"/>
      <c r="CE135" s="37"/>
      <c r="CF135" s="37"/>
      <c r="CG135" s="37"/>
      <c r="CH135" s="37"/>
      <c r="CI135" s="37"/>
      <c r="CJ135" s="37"/>
      <c r="CK135" s="37"/>
      <c r="CL135" s="37"/>
      <c r="CM135" s="37"/>
      <c r="CN135" s="37"/>
      <c r="CO135" s="37"/>
      <c r="CP135" s="37"/>
      <c r="CQ135" s="37"/>
      <c r="CR135" s="37"/>
      <c r="CS135" s="37"/>
      <c r="CT135" s="37"/>
      <c r="CU135" s="37"/>
      <c r="CV135" s="37"/>
      <c r="CW135" s="37"/>
      <c r="CX135" s="37"/>
      <c r="CY135" s="37"/>
      <c r="CZ135" s="37"/>
      <c r="DA135" s="37"/>
      <c r="DB135" s="37"/>
      <c r="DC135" s="37"/>
      <c r="DD135" s="37"/>
      <c r="DE135" s="37"/>
      <c r="DF135" s="37"/>
      <c r="DG135" s="37"/>
      <c r="DH135" s="37"/>
      <c r="DI135" s="37"/>
      <c r="DJ135" s="37"/>
      <c r="DK135" s="37"/>
      <c r="DL135" s="37"/>
      <c r="DM135" s="37"/>
      <c r="DN135" s="40"/>
      <c r="DO135" s="78"/>
      <c r="DP135" s="79"/>
      <c r="DQ135" s="79"/>
      <c r="DR135" s="79"/>
      <c r="DS135" s="79"/>
      <c r="DT135" s="79"/>
      <c r="DU135" s="79"/>
      <c r="DV135" s="79"/>
      <c r="DW135" s="79"/>
      <c r="DX135" s="79"/>
      <c r="DY135" s="79"/>
      <c r="DZ135" s="79"/>
      <c r="EA135" s="79"/>
      <c r="EB135" s="79"/>
      <c r="EC135" s="79"/>
      <c r="ED135" s="79"/>
      <c r="EE135" s="79"/>
      <c r="EF135" s="79"/>
      <c r="EG135" s="79"/>
      <c r="EH135" s="79"/>
      <c r="EI135" s="79"/>
      <c r="EJ135" s="79"/>
      <c r="EK135" s="79"/>
      <c r="EL135" s="79"/>
      <c r="EM135" s="79"/>
      <c r="EN135" s="79"/>
      <c r="EO135" s="79"/>
      <c r="EP135" s="79"/>
      <c r="EQ135" s="35"/>
      <c r="ER135" s="35"/>
      <c r="ES135" s="35"/>
      <c r="ET135" s="80"/>
      <c r="EU135" s="38">
        <v>300000</v>
      </c>
      <c r="EV135" s="40">
        <v>0</v>
      </c>
      <c r="EW135" s="38">
        <v>300000</v>
      </c>
      <c r="EX135" s="38">
        <f t="shared" si="46"/>
        <v>600000</v>
      </c>
      <c r="EY135" s="34" t="s">
        <v>227</v>
      </c>
    </row>
    <row r="136" spans="1:155" ht="104.25" customHeight="1" x14ac:dyDescent="0.35">
      <c r="A136" s="26">
        <v>121</v>
      </c>
      <c r="B136" s="130" t="s">
        <v>298</v>
      </c>
      <c r="C136" s="130" t="s">
        <v>228</v>
      </c>
      <c r="D136" s="27" t="s">
        <v>392</v>
      </c>
      <c r="E136" s="27">
        <v>2</v>
      </c>
      <c r="F136" s="81"/>
      <c r="G136" s="125"/>
      <c r="H136" s="17"/>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44"/>
      <c r="DO136" s="82"/>
      <c r="DP136" s="83"/>
      <c r="DQ136" s="83"/>
      <c r="DR136" s="83"/>
      <c r="DS136" s="83"/>
      <c r="DT136" s="83"/>
      <c r="DU136" s="83"/>
      <c r="DV136" s="83"/>
      <c r="DW136" s="83"/>
      <c r="DX136" s="83"/>
      <c r="DY136" s="83"/>
      <c r="DZ136" s="83"/>
      <c r="EA136" s="83"/>
      <c r="EB136" s="83"/>
      <c r="EC136" s="83"/>
      <c r="ED136" s="83"/>
      <c r="EE136" s="83"/>
      <c r="EF136" s="83"/>
      <c r="EG136" s="83"/>
      <c r="EH136" s="83"/>
      <c r="EI136" s="83"/>
      <c r="EJ136" s="83"/>
      <c r="EK136" s="83"/>
      <c r="EL136" s="83"/>
      <c r="EM136" s="83"/>
      <c r="EN136" s="83"/>
      <c r="EO136" s="83"/>
      <c r="EP136" s="83"/>
      <c r="EQ136" s="84"/>
      <c r="ER136" s="84"/>
      <c r="ES136" s="84"/>
      <c r="ET136" s="71"/>
      <c r="EU136" s="44">
        <f>+EW135*10%</f>
        <v>30000</v>
      </c>
      <c r="EV136" s="44">
        <f>+EU136*19%</f>
        <v>5700</v>
      </c>
      <c r="EW136" s="85">
        <f>+((EU136*7%)+EV136)+EU136</f>
        <v>37800</v>
      </c>
      <c r="EX136" s="86">
        <f t="shared" si="46"/>
        <v>75600</v>
      </c>
      <c r="EY136" s="26" t="s">
        <v>374</v>
      </c>
    </row>
    <row r="137" spans="1:155" ht="76.5" customHeight="1" x14ac:dyDescent="0.35">
      <c r="A137" s="27">
        <v>122</v>
      </c>
      <c r="B137" s="142" t="s">
        <v>76</v>
      </c>
      <c r="C137" s="142" t="s">
        <v>230</v>
      </c>
      <c r="D137" s="34" t="s">
        <v>17</v>
      </c>
      <c r="E137" s="34">
        <v>2</v>
      </c>
      <c r="F137" s="77"/>
      <c r="G137" s="128"/>
      <c r="H137" s="36"/>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7"/>
      <c r="AP137" s="37"/>
      <c r="AQ137" s="37"/>
      <c r="AR137" s="37"/>
      <c r="AS137" s="37"/>
      <c r="AT137" s="37"/>
      <c r="AU137" s="37"/>
      <c r="AV137" s="37"/>
      <c r="AW137" s="37"/>
      <c r="AX137" s="37"/>
      <c r="AY137" s="37"/>
      <c r="AZ137" s="37"/>
      <c r="BA137" s="37"/>
      <c r="BB137" s="37"/>
      <c r="BC137" s="37"/>
      <c r="BD137" s="37"/>
      <c r="BE137" s="37"/>
      <c r="BF137" s="37"/>
      <c r="BG137" s="37"/>
      <c r="BH137" s="37"/>
      <c r="BI137" s="37"/>
      <c r="BJ137" s="37"/>
      <c r="BK137" s="37"/>
      <c r="BL137" s="37"/>
      <c r="BM137" s="37"/>
      <c r="BN137" s="37"/>
      <c r="BO137" s="37"/>
      <c r="BP137" s="37"/>
      <c r="BQ137" s="37"/>
      <c r="BR137" s="37"/>
      <c r="BS137" s="37"/>
      <c r="BT137" s="37"/>
      <c r="BU137" s="37"/>
      <c r="BV137" s="37"/>
      <c r="BW137" s="37"/>
      <c r="BX137" s="37"/>
      <c r="BY137" s="37"/>
      <c r="BZ137" s="37"/>
      <c r="CA137" s="37"/>
      <c r="CB137" s="37"/>
      <c r="CC137" s="37"/>
      <c r="CD137" s="37"/>
      <c r="CE137" s="37"/>
      <c r="CF137" s="37"/>
      <c r="CG137" s="37"/>
      <c r="CH137" s="37"/>
      <c r="CI137" s="37"/>
      <c r="CJ137" s="37"/>
      <c r="CK137" s="37"/>
      <c r="CL137" s="37"/>
      <c r="CM137" s="37"/>
      <c r="CN137" s="37"/>
      <c r="CO137" s="37"/>
      <c r="CP137" s="37"/>
      <c r="CQ137" s="37"/>
      <c r="CR137" s="37"/>
      <c r="CS137" s="37"/>
      <c r="CT137" s="37"/>
      <c r="CU137" s="37"/>
      <c r="CV137" s="37"/>
      <c r="CW137" s="37"/>
      <c r="CX137" s="37"/>
      <c r="CY137" s="37"/>
      <c r="CZ137" s="37"/>
      <c r="DA137" s="37"/>
      <c r="DB137" s="37"/>
      <c r="DC137" s="37"/>
      <c r="DD137" s="37"/>
      <c r="DE137" s="37"/>
      <c r="DF137" s="37"/>
      <c r="DG137" s="37"/>
      <c r="DH137" s="37"/>
      <c r="DI137" s="37"/>
      <c r="DJ137" s="37"/>
      <c r="DK137" s="37"/>
      <c r="DL137" s="37"/>
      <c r="DM137" s="37"/>
      <c r="DN137" s="40"/>
      <c r="DO137" s="78"/>
      <c r="DP137" s="79"/>
      <c r="DQ137" s="79"/>
      <c r="DR137" s="79"/>
      <c r="DS137" s="79"/>
      <c r="DT137" s="79"/>
      <c r="DU137" s="79"/>
      <c r="DV137" s="79"/>
      <c r="DW137" s="79"/>
      <c r="DX137" s="79"/>
      <c r="DY137" s="79"/>
      <c r="DZ137" s="79"/>
      <c r="EA137" s="79"/>
      <c r="EB137" s="79"/>
      <c r="EC137" s="79"/>
      <c r="ED137" s="79"/>
      <c r="EE137" s="79"/>
      <c r="EF137" s="79"/>
      <c r="EG137" s="79"/>
      <c r="EH137" s="79"/>
      <c r="EI137" s="79"/>
      <c r="EJ137" s="79"/>
      <c r="EK137" s="79"/>
      <c r="EL137" s="79"/>
      <c r="EM137" s="79"/>
      <c r="EN137" s="79"/>
      <c r="EO137" s="79"/>
      <c r="EP137" s="79"/>
      <c r="EQ137" s="35"/>
      <c r="ER137" s="35"/>
      <c r="ES137" s="35"/>
      <c r="ET137" s="80"/>
      <c r="EU137" s="38">
        <v>150000</v>
      </c>
      <c r="EV137" s="40">
        <v>0</v>
      </c>
      <c r="EW137" s="38">
        <v>150000</v>
      </c>
      <c r="EX137" s="38">
        <f t="shared" si="46"/>
        <v>300000</v>
      </c>
      <c r="EY137" s="34" t="s">
        <v>297</v>
      </c>
    </row>
    <row r="138" spans="1:155" ht="104.25" customHeight="1" x14ac:dyDescent="0.35">
      <c r="A138" s="27">
        <v>123</v>
      </c>
      <c r="B138" s="130" t="s">
        <v>298</v>
      </c>
      <c r="C138" s="130" t="s">
        <v>228</v>
      </c>
      <c r="D138" s="27" t="s">
        <v>392</v>
      </c>
      <c r="E138" s="27">
        <v>2</v>
      </c>
      <c r="F138" s="81"/>
      <c r="G138" s="125"/>
      <c r="H138" s="17"/>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44"/>
      <c r="DO138" s="82"/>
      <c r="DP138" s="83"/>
      <c r="DQ138" s="83"/>
      <c r="DR138" s="83"/>
      <c r="DS138" s="83"/>
      <c r="DT138" s="83"/>
      <c r="DU138" s="83"/>
      <c r="DV138" s="83"/>
      <c r="DW138" s="83"/>
      <c r="DX138" s="83"/>
      <c r="DY138" s="83"/>
      <c r="DZ138" s="83"/>
      <c r="EA138" s="83"/>
      <c r="EB138" s="83"/>
      <c r="EC138" s="83"/>
      <c r="ED138" s="83"/>
      <c r="EE138" s="83"/>
      <c r="EF138" s="83"/>
      <c r="EG138" s="83"/>
      <c r="EH138" s="83"/>
      <c r="EI138" s="83"/>
      <c r="EJ138" s="83"/>
      <c r="EK138" s="83"/>
      <c r="EL138" s="83"/>
      <c r="EM138" s="83"/>
      <c r="EN138" s="83"/>
      <c r="EO138" s="83"/>
      <c r="EP138" s="83"/>
      <c r="EQ138" s="84"/>
      <c r="ER138" s="84"/>
      <c r="ES138" s="84"/>
      <c r="ET138" s="71"/>
      <c r="EU138" s="44">
        <f>+EW137*10%</f>
        <v>15000</v>
      </c>
      <c r="EV138" s="44">
        <f>+EU138*19%</f>
        <v>2850</v>
      </c>
      <c r="EW138" s="85">
        <f>+((EU138*7%)+EV138)+EU138</f>
        <v>18900</v>
      </c>
      <c r="EX138" s="86">
        <f t="shared" si="46"/>
        <v>37800</v>
      </c>
      <c r="EY138" s="26" t="s">
        <v>374</v>
      </c>
    </row>
    <row r="139" spans="1:155" ht="76.5" customHeight="1" x14ac:dyDescent="0.35">
      <c r="A139" s="26">
        <v>124</v>
      </c>
      <c r="B139" s="142" t="s">
        <v>77</v>
      </c>
      <c r="C139" s="142" t="s">
        <v>230</v>
      </c>
      <c r="D139" s="34" t="s">
        <v>17</v>
      </c>
      <c r="E139" s="34">
        <v>2</v>
      </c>
      <c r="F139" s="77"/>
      <c r="G139" s="128"/>
      <c r="H139" s="36"/>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7"/>
      <c r="AP139" s="37"/>
      <c r="AQ139" s="37"/>
      <c r="AR139" s="37"/>
      <c r="AS139" s="37"/>
      <c r="AT139" s="37"/>
      <c r="AU139" s="37"/>
      <c r="AV139" s="37"/>
      <c r="AW139" s="37"/>
      <c r="AX139" s="37"/>
      <c r="AY139" s="37"/>
      <c r="AZ139" s="37"/>
      <c r="BA139" s="37"/>
      <c r="BB139" s="37"/>
      <c r="BC139" s="37"/>
      <c r="BD139" s="37"/>
      <c r="BE139" s="37"/>
      <c r="BF139" s="37"/>
      <c r="BG139" s="37"/>
      <c r="BH139" s="37"/>
      <c r="BI139" s="37"/>
      <c r="BJ139" s="37"/>
      <c r="BK139" s="37"/>
      <c r="BL139" s="37"/>
      <c r="BM139" s="37"/>
      <c r="BN139" s="37"/>
      <c r="BO139" s="37"/>
      <c r="BP139" s="37"/>
      <c r="BQ139" s="37"/>
      <c r="BR139" s="37"/>
      <c r="BS139" s="37"/>
      <c r="BT139" s="37"/>
      <c r="BU139" s="37"/>
      <c r="BV139" s="37"/>
      <c r="BW139" s="37"/>
      <c r="BX139" s="37"/>
      <c r="BY139" s="37"/>
      <c r="BZ139" s="37"/>
      <c r="CA139" s="37"/>
      <c r="CB139" s="37"/>
      <c r="CC139" s="37"/>
      <c r="CD139" s="37"/>
      <c r="CE139" s="37"/>
      <c r="CF139" s="37"/>
      <c r="CG139" s="37"/>
      <c r="CH139" s="37"/>
      <c r="CI139" s="37"/>
      <c r="CJ139" s="37"/>
      <c r="CK139" s="37"/>
      <c r="CL139" s="37"/>
      <c r="CM139" s="37"/>
      <c r="CN139" s="37"/>
      <c r="CO139" s="37"/>
      <c r="CP139" s="37"/>
      <c r="CQ139" s="37"/>
      <c r="CR139" s="37"/>
      <c r="CS139" s="37"/>
      <c r="CT139" s="37"/>
      <c r="CU139" s="37"/>
      <c r="CV139" s="37"/>
      <c r="CW139" s="37"/>
      <c r="CX139" s="37"/>
      <c r="CY139" s="37"/>
      <c r="CZ139" s="37"/>
      <c r="DA139" s="37"/>
      <c r="DB139" s="37"/>
      <c r="DC139" s="37"/>
      <c r="DD139" s="37"/>
      <c r="DE139" s="37"/>
      <c r="DF139" s="37"/>
      <c r="DG139" s="37"/>
      <c r="DH139" s="37"/>
      <c r="DI139" s="37"/>
      <c r="DJ139" s="37"/>
      <c r="DK139" s="37"/>
      <c r="DL139" s="37"/>
      <c r="DM139" s="37"/>
      <c r="DN139" s="40"/>
      <c r="DO139" s="78"/>
      <c r="DP139" s="79"/>
      <c r="DQ139" s="79"/>
      <c r="DR139" s="79"/>
      <c r="DS139" s="79"/>
      <c r="DT139" s="79"/>
      <c r="DU139" s="79"/>
      <c r="DV139" s="79"/>
      <c r="DW139" s="79"/>
      <c r="DX139" s="79"/>
      <c r="DY139" s="79"/>
      <c r="DZ139" s="79"/>
      <c r="EA139" s="79"/>
      <c r="EB139" s="79"/>
      <c r="EC139" s="79"/>
      <c r="ED139" s="79"/>
      <c r="EE139" s="79"/>
      <c r="EF139" s="79"/>
      <c r="EG139" s="79"/>
      <c r="EH139" s="79"/>
      <c r="EI139" s="79"/>
      <c r="EJ139" s="79"/>
      <c r="EK139" s="79"/>
      <c r="EL139" s="79"/>
      <c r="EM139" s="79"/>
      <c r="EN139" s="79"/>
      <c r="EO139" s="79"/>
      <c r="EP139" s="79"/>
      <c r="EQ139" s="35"/>
      <c r="ER139" s="35"/>
      <c r="ES139" s="35"/>
      <c r="ET139" s="80"/>
      <c r="EU139" s="38">
        <v>150000</v>
      </c>
      <c r="EV139" s="40">
        <v>0</v>
      </c>
      <c r="EW139" s="38">
        <v>150000</v>
      </c>
      <c r="EX139" s="38">
        <f t="shared" si="46"/>
        <v>300000</v>
      </c>
      <c r="EY139" s="34" t="s">
        <v>297</v>
      </c>
    </row>
    <row r="140" spans="1:155" ht="104.25" customHeight="1" x14ac:dyDescent="0.35">
      <c r="A140" s="27">
        <v>125</v>
      </c>
      <c r="B140" s="130" t="s">
        <v>298</v>
      </c>
      <c r="C140" s="130" t="s">
        <v>228</v>
      </c>
      <c r="D140" s="27" t="s">
        <v>392</v>
      </c>
      <c r="E140" s="27">
        <v>2</v>
      </c>
      <c r="F140" s="81"/>
      <c r="G140" s="125"/>
      <c r="H140" s="17"/>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44"/>
      <c r="DO140" s="82"/>
      <c r="DP140" s="83"/>
      <c r="DQ140" s="83"/>
      <c r="DR140" s="83"/>
      <c r="DS140" s="83"/>
      <c r="DT140" s="83"/>
      <c r="DU140" s="83"/>
      <c r="DV140" s="83"/>
      <c r="DW140" s="83"/>
      <c r="DX140" s="83"/>
      <c r="DY140" s="83"/>
      <c r="DZ140" s="83"/>
      <c r="EA140" s="83"/>
      <c r="EB140" s="83"/>
      <c r="EC140" s="83"/>
      <c r="ED140" s="83"/>
      <c r="EE140" s="83"/>
      <c r="EF140" s="83"/>
      <c r="EG140" s="83"/>
      <c r="EH140" s="83"/>
      <c r="EI140" s="83"/>
      <c r="EJ140" s="83"/>
      <c r="EK140" s="83"/>
      <c r="EL140" s="83"/>
      <c r="EM140" s="83"/>
      <c r="EN140" s="83"/>
      <c r="EO140" s="83"/>
      <c r="EP140" s="83"/>
      <c r="EQ140" s="84"/>
      <c r="ER140" s="84"/>
      <c r="ES140" s="84"/>
      <c r="ET140" s="71"/>
      <c r="EU140" s="44">
        <f>+EW139*10%</f>
        <v>15000</v>
      </c>
      <c r="EV140" s="44">
        <f>+EU140*19%</f>
        <v>2850</v>
      </c>
      <c r="EW140" s="85">
        <f>+((EU140*7%)+EV140)+EU140</f>
        <v>18900</v>
      </c>
      <c r="EX140" s="86">
        <f t="shared" si="46"/>
        <v>37800</v>
      </c>
      <c r="EY140" s="26" t="s">
        <v>374</v>
      </c>
    </row>
    <row r="141" spans="1:155" ht="76.5" customHeight="1" x14ac:dyDescent="0.35">
      <c r="A141" s="27">
        <v>126</v>
      </c>
      <c r="B141" s="142" t="s">
        <v>78</v>
      </c>
      <c r="C141" s="142" t="s">
        <v>230</v>
      </c>
      <c r="D141" s="34" t="s">
        <v>17</v>
      </c>
      <c r="E141" s="34">
        <v>2</v>
      </c>
      <c r="F141" s="77"/>
      <c r="G141" s="128"/>
      <c r="H141" s="36"/>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7"/>
      <c r="AP141" s="37"/>
      <c r="AQ141" s="37"/>
      <c r="AR141" s="37"/>
      <c r="AS141" s="37"/>
      <c r="AT141" s="37"/>
      <c r="AU141" s="37"/>
      <c r="AV141" s="37"/>
      <c r="AW141" s="37"/>
      <c r="AX141" s="37"/>
      <c r="AY141" s="37"/>
      <c r="AZ141" s="37"/>
      <c r="BA141" s="37"/>
      <c r="BB141" s="37"/>
      <c r="BC141" s="37"/>
      <c r="BD141" s="37"/>
      <c r="BE141" s="37"/>
      <c r="BF141" s="37"/>
      <c r="BG141" s="37"/>
      <c r="BH141" s="37"/>
      <c r="BI141" s="37"/>
      <c r="BJ141" s="37"/>
      <c r="BK141" s="37"/>
      <c r="BL141" s="37"/>
      <c r="BM141" s="37"/>
      <c r="BN141" s="37"/>
      <c r="BO141" s="37"/>
      <c r="BP141" s="37"/>
      <c r="BQ141" s="37"/>
      <c r="BR141" s="37"/>
      <c r="BS141" s="37"/>
      <c r="BT141" s="37"/>
      <c r="BU141" s="37"/>
      <c r="BV141" s="37"/>
      <c r="BW141" s="37"/>
      <c r="BX141" s="37"/>
      <c r="BY141" s="37"/>
      <c r="BZ141" s="37"/>
      <c r="CA141" s="37"/>
      <c r="CB141" s="37"/>
      <c r="CC141" s="37"/>
      <c r="CD141" s="37"/>
      <c r="CE141" s="37"/>
      <c r="CF141" s="37"/>
      <c r="CG141" s="37"/>
      <c r="CH141" s="37"/>
      <c r="CI141" s="37"/>
      <c r="CJ141" s="37"/>
      <c r="CK141" s="37"/>
      <c r="CL141" s="37"/>
      <c r="CM141" s="37"/>
      <c r="CN141" s="37"/>
      <c r="CO141" s="37"/>
      <c r="CP141" s="37"/>
      <c r="CQ141" s="37"/>
      <c r="CR141" s="37"/>
      <c r="CS141" s="37"/>
      <c r="CT141" s="37"/>
      <c r="CU141" s="37"/>
      <c r="CV141" s="37"/>
      <c r="CW141" s="37"/>
      <c r="CX141" s="37"/>
      <c r="CY141" s="37"/>
      <c r="CZ141" s="37"/>
      <c r="DA141" s="37"/>
      <c r="DB141" s="37"/>
      <c r="DC141" s="37"/>
      <c r="DD141" s="37"/>
      <c r="DE141" s="37"/>
      <c r="DF141" s="37"/>
      <c r="DG141" s="37"/>
      <c r="DH141" s="37"/>
      <c r="DI141" s="37"/>
      <c r="DJ141" s="37"/>
      <c r="DK141" s="37"/>
      <c r="DL141" s="37"/>
      <c r="DM141" s="37"/>
      <c r="DN141" s="40"/>
      <c r="DO141" s="78"/>
      <c r="DP141" s="79"/>
      <c r="DQ141" s="79"/>
      <c r="DR141" s="79"/>
      <c r="DS141" s="79"/>
      <c r="DT141" s="79"/>
      <c r="DU141" s="79"/>
      <c r="DV141" s="79"/>
      <c r="DW141" s="79"/>
      <c r="DX141" s="79"/>
      <c r="DY141" s="79"/>
      <c r="DZ141" s="79"/>
      <c r="EA141" s="79"/>
      <c r="EB141" s="79"/>
      <c r="EC141" s="79"/>
      <c r="ED141" s="79"/>
      <c r="EE141" s="79"/>
      <c r="EF141" s="79"/>
      <c r="EG141" s="79"/>
      <c r="EH141" s="79"/>
      <c r="EI141" s="79"/>
      <c r="EJ141" s="79"/>
      <c r="EK141" s="79"/>
      <c r="EL141" s="79"/>
      <c r="EM141" s="79"/>
      <c r="EN141" s="79"/>
      <c r="EO141" s="79"/>
      <c r="EP141" s="79"/>
      <c r="EQ141" s="35"/>
      <c r="ER141" s="35"/>
      <c r="ES141" s="35"/>
      <c r="ET141" s="80"/>
      <c r="EU141" s="38">
        <v>150000</v>
      </c>
      <c r="EV141" s="40">
        <v>0</v>
      </c>
      <c r="EW141" s="38">
        <v>150000</v>
      </c>
      <c r="EX141" s="38">
        <f t="shared" si="46"/>
        <v>300000</v>
      </c>
      <c r="EY141" s="34" t="s">
        <v>297</v>
      </c>
    </row>
    <row r="142" spans="1:155" ht="104.25" customHeight="1" x14ac:dyDescent="0.35">
      <c r="A142" s="26">
        <v>127</v>
      </c>
      <c r="B142" s="130" t="s">
        <v>298</v>
      </c>
      <c r="C142" s="130" t="s">
        <v>228</v>
      </c>
      <c r="D142" s="27" t="s">
        <v>392</v>
      </c>
      <c r="E142" s="27">
        <v>2</v>
      </c>
      <c r="F142" s="81"/>
      <c r="G142" s="125"/>
      <c r="H142" s="17"/>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44"/>
      <c r="DO142" s="82"/>
      <c r="DP142" s="83"/>
      <c r="DQ142" s="83"/>
      <c r="DR142" s="83"/>
      <c r="DS142" s="83"/>
      <c r="DT142" s="83"/>
      <c r="DU142" s="83"/>
      <c r="DV142" s="83"/>
      <c r="DW142" s="83"/>
      <c r="DX142" s="83"/>
      <c r="DY142" s="83"/>
      <c r="DZ142" s="83"/>
      <c r="EA142" s="83"/>
      <c r="EB142" s="83"/>
      <c r="EC142" s="83"/>
      <c r="ED142" s="83"/>
      <c r="EE142" s="83"/>
      <c r="EF142" s="83"/>
      <c r="EG142" s="83"/>
      <c r="EH142" s="83"/>
      <c r="EI142" s="83"/>
      <c r="EJ142" s="83"/>
      <c r="EK142" s="83"/>
      <c r="EL142" s="83"/>
      <c r="EM142" s="83"/>
      <c r="EN142" s="83"/>
      <c r="EO142" s="83"/>
      <c r="EP142" s="83"/>
      <c r="EQ142" s="84"/>
      <c r="ER142" s="84"/>
      <c r="ES142" s="84"/>
      <c r="ET142" s="71"/>
      <c r="EU142" s="44">
        <f>+EW141*10%</f>
        <v>15000</v>
      </c>
      <c r="EV142" s="44">
        <f>+EU142*19%</f>
        <v>2850</v>
      </c>
      <c r="EW142" s="85">
        <f>+((EU142*7%)+EV142)+EU142</f>
        <v>18900</v>
      </c>
      <c r="EX142" s="86">
        <f t="shared" si="46"/>
        <v>37800</v>
      </c>
      <c r="EY142" s="26" t="s">
        <v>374</v>
      </c>
    </row>
    <row r="143" spans="1:155" ht="225" customHeight="1" x14ac:dyDescent="0.35">
      <c r="A143" s="27">
        <v>128</v>
      </c>
      <c r="B143" s="64" t="s">
        <v>418</v>
      </c>
      <c r="C143" s="64" t="s">
        <v>419</v>
      </c>
      <c r="D143" s="26" t="s">
        <v>64</v>
      </c>
      <c r="E143" s="26">
        <v>1</v>
      </c>
      <c r="F143" s="63"/>
      <c r="G143" s="125"/>
      <c r="H143" s="17"/>
      <c r="I143" s="18"/>
      <c r="J143" s="18"/>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19"/>
      <c r="BU143" s="19"/>
      <c r="BV143" s="19"/>
      <c r="BW143" s="19"/>
      <c r="BX143" s="19"/>
      <c r="BY143" s="19"/>
      <c r="BZ143" s="19"/>
      <c r="CA143" s="19"/>
      <c r="CB143" s="19"/>
      <c r="CC143" s="19"/>
      <c r="CD143" s="19"/>
      <c r="CE143" s="19"/>
      <c r="CF143" s="19"/>
      <c r="CG143" s="19"/>
      <c r="CH143" s="19"/>
      <c r="CI143" s="19"/>
      <c r="CJ143" s="19"/>
      <c r="CK143" s="19"/>
      <c r="CL143" s="19"/>
      <c r="CM143" s="19"/>
      <c r="CN143" s="19"/>
      <c r="CO143" s="19"/>
      <c r="CP143" s="19"/>
      <c r="CQ143" s="19"/>
      <c r="CR143" s="19"/>
      <c r="CS143" s="19"/>
      <c r="CT143" s="19"/>
      <c r="CU143" s="19"/>
      <c r="CV143" s="19"/>
      <c r="CW143" s="19"/>
      <c r="CX143" s="19"/>
      <c r="CY143" s="19"/>
      <c r="CZ143" s="19"/>
      <c r="DA143" s="19"/>
      <c r="DB143" s="19"/>
      <c r="DC143" s="19"/>
      <c r="DD143" s="19"/>
      <c r="DE143" s="19"/>
      <c r="DF143" s="19"/>
      <c r="DG143" s="19"/>
      <c r="DH143" s="19"/>
      <c r="DI143" s="19"/>
      <c r="DJ143" s="19"/>
      <c r="DK143" s="19"/>
      <c r="DL143" s="19"/>
      <c r="DM143" s="19"/>
      <c r="DN143" s="44">
        <v>1785000</v>
      </c>
      <c r="DO143" s="22"/>
      <c r="DP143" s="23">
        <v>1155000</v>
      </c>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45">
        <f>MEDIAN(DN143,DP143)</f>
        <v>1470000</v>
      </c>
      <c r="ER143" s="45">
        <f>AVERAGE(DN143,DP143)</f>
        <v>1470000</v>
      </c>
      <c r="ES143" s="45">
        <f>+STDEV(DN143,DP143)</f>
        <v>445477.27214752493</v>
      </c>
      <c r="ET143" s="46">
        <f t="shared" ref="ET143:ET182" si="50">ES143/ER143</f>
        <v>0.30304576336566319</v>
      </c>
      <c r="EU143" s="44">
        <f>EW143/1.19</f>
        <v>1235294.1176470588</v>
      </c>
      <c r="EV143" s="44">
        <f>EU143*19%</f>
        <v>234705.88235294117</v>
      </c>
      <c r="EW143" s="44">
        <f>+ROUNDUP(IF(ET143&lt;15%,ER143,EQ143),0)</f>
        <v>1470000</v>
      </c>
      <c r="EX143" s="103">
        <f t="shared" si="46"/>
        <v>1470000</v>
      </c>
      <c r="EY143" s="26" t="s">
        <v>109</v>
      </c>
    </row>
    <row r="144" spans="1:155" ht="126" customHeight="1" x14ac:dyDescent="0.35">
      <c r="A144" s="27">
        <v>129</v>
      </c>
      <c r="B144" s="141" t="s">
        <v>37</v>
      </c>
      <c r="C144" s="143" t="s">
        <v>310</v>
      </c>
      <c r="D144" s="26" t="s">
        <v>64</v>
      </c>
      <c r="E144" s="26">
        <v>1</v>
      </c>
      <c r="F144" s="63"/>
      <c r="G144" s="125"/>
      <c r="H144" s="17"/>
      <c r="I144" s="18"/>
      <c r="J144" s="18"/>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19"/>
      <c r="BU144" s="19"/>
      <c r="BV144" s="19"/>
      <c r="BW144" s="19"/>
      <c r="BX144" s="19"/>
      <c r="BY144" s="19"/>
      <c r="BZ144" s="19"/>
      <c r="CA144" s="19"/>
      <c r="CB144" s="19"/>
      <c r="CC144" s="19"/>
      <c r="CD144" s="19"/>
      <c r="CE144" s="19"/>
      <c r="CF144" s="19"/>
      <c r="CG144" s="19"/>
      <c r="CH144" s="19"/>
      <c r="CI144" s="19"/>
      <c r="CJ144" s="19"/>
      <c r="CK144" s="19"/>
      <c r="CL144" s="19"/>
      <c r="CM144" s="19"/>
      <c r="CN144" s="19"/>
      <c r="CO144" s="19"/>
      <c r="CP144" s="19"/>
      <c r="CQ144" s="19"/>
      <c r="CR144" s="19"/>
      <c r="CS144" s="19"/>
      <c r="CT144" s="19"/>
      <c r="CU144" s="19"/>
      <c r="CV144" s="19"/>
      <c r="CW144" s="19"/>
      <c r="CX144" s="19"/>
      <c r="CY144" s="19"/>
      <c r="CZ144" s="19"/>
      <c r="DA144" s="19"/>
      <c r="DB144" s="19"/>
      <c r="DC144" s="19"/>
      <c r="DD144" s="19"/>
      <c r="DE144" s="19"/>
      <c r="DF144" s="19"/>
      <c r="DG144" s="19"/>
      <c r="DH144" s="19"/>
      <c r="DI144" s="19"/>
      <c r="DJ144" s="19"/>
      <c r="DK144" s="19"/>
      <c r="DL144" s="19"/>
      <c r="DM144" s="19"/>
      <c r="DN144" s="44"/>
      <c r="DO144" s="22"/>
      <c r="DP144" s="52"/>
      <c r="DQ144" s="52"/>
      <c r="DR144" s="52"/>
      <c r="DS144" s="52"/>
      <c r="DT144" s="52"/>
      <c r="DU144" s="52"/>
      <c r="DV144" s="52"/>
      <c r="DW144" s="52"/>
      <c r="DX144" s="52"/>
      <c r="DY144" s="52"/>
      <c r="DZ144" s="52"/>
      <c r="EA144" s="52"/>
      <c r="EB144" s="52"/>
      <c r="EC144" s="52"/>
      <c r="ED144" s="52"/>
      <c r="EE144" s="140">
        <v>350000</v>
      </c>
      <c r="EF144" s="23">
        <v>310000</v>
      </c>
      <c r="EG144" s="23"/>
      <c r="EH144" s="23"/>
      <c r="EI144" s="23"/>
      <c r="EJ144" s="23"/>
      <c r="EK144" s="23"/>
      <c r="EL144" s="23"/>
      <c r="EM144" s="23"/>
      <c r="EN144" s="23"/>
      <c r="EO144" s="23"/>
      <c r="EP144" s="23"/>
      <c r="EQ144" s="45">
        <f>MEDIAN(EE144,EF144)</f>
        <v>330000</v>
      </c>
      <c r="ER144" s="45">
        <f>AVERAGE(EE144,EF144)</f>
        <v>330000</v>
      </c>
      <c r="ES144" s="45">
        <f>+STDEV(EE144,EF144)</f>
        <v>28284.2712474619</v>
      </c>
      <c r="ET144" s="71">
        <f t="shared" si="50"/>
        <v>8.5709912871096666E-2</v>
      </c>
      <c r="EU144" s="44">
        <f>EW144/1.19</f>
        <v>277310.92436974793</v>
      </c>
      <c r="EV144" s="44">
        <f>EU144*19%</f>
        <v>52689.075630252104</v>
      </c>
      <c r="EW144" s="44">
        <f>+ROUNDUP(IF(ET144&lt;15%,ER144,EQ144),0)</f>
        <v>330000</v>
      </c>
      <c r="EX144" s="103">
        <f t="shared" si="46"/>
        <v>330000</v>
      </c>
      <c r="EY144" s="26" t="s">
        <v>109</v>
      </c>
    </row>
    <row r="145" spans="1:155" ht="126.75" customHeight="1" x14ac:dyDescent="0.35">
      <c r="A145" s="26">
        <v>130</v>
      </c>
      <c r="B145" s="141" t="s">
        <v>420</v>
      </c>
      <c r="C145" s="143" t="s">
        <v>429</v>
      </c>
      <c r="D145" s="26" t="s">
        <v>38</v>
      </c>
      <c r="E145" s="26">
        <v>1</v>
      </c>
      <c r="F145" s="63"/>
      <c r="G145" s="125"/>
      <c r="H145" s="17"/>
      <c r="I145" s="18"/>
      <c r="J145" s="18"/>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19"/>
      <c r="BU145" s="19"/>
      <c r="BV145" s="19"/>
      <c r="BW145" s="19"/>
      <c r="BX145" s="19"/>
      <c r="BY145" s="19"/>
      <c r="BZ145" s="19"/>
      <c r="CA145" s="19"/>
      <c r="CB145" s="19"/>
      <c r="CC145" s="19"/>
      <c r="CD145" s="19"/>
      <c r="CE145" s="19"/>
      <c r="CF145" s="19"/>
      <c r="CG145" s="19"/>
      <c r="CH145" s="19"/>
      <c r="CI145" s="19"/>
      <c r="CJ145" s="19"/>
      <c r="CK145" s="19"/>
      <c r="CL145" s="19"/>
      <c r="CM145" s="19"/>
      <c r="CN145" s="19"/>
      <c r="CO145" s="19"/>
      <c r="CP145" s="19"/>
      <c r="CQ145" s="19"/>
      <c r="CR145" s="19"/>
      <c r="CS145" s="19"/>
      <c r="CT145" s="19"/>
      <c r="CU145" s="19"/>
      <c r="CV145" s="19"/>
      <c r="CW145" s="19"/>
      <c r="CX145" s="19"/>
      <c r="CY145" s="19"/>
      <c r="CZ145" s="19"/>
      <c r="DA145" s="19"/>
      <c r="DB145" s="19"/>
      <c r="DC145" s="19"/>
      <c r="DD145" s="19"/>
      <c r="DE145" s="19"/>
      <c r="DF145" s="19"/>
      <c r="DG145" s="19"/>
      <c r="DH145" s="19"/>
      <c r="DI145" s="19"/>
      <c r="DJ145" s="19"/>
      <c r="DK145" s="19"/>
      <c r="DL145" s="19"/>
      <c r="DM145" s="19"/>
      <c r="DN145" s="44">
        <v>595000</v>
      </c>
      <c r="DO145" s="22"/>
      <c r="DP145" s="23">
        <v>511700</v>
      </c>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45">
        <f>MEDIAN(DN145,DP145)</f>
        <v>553350</v>
      </c>
      <c r="ER145" s="45">
        <f>AVERAGE(DN145,DP145)</f>
        <v>553350</v>
      </c>
      <c r="ES145" s="45">
        <f>+STDEV(DN145,DP145)</f>
        <v>58901.994872839408</v>
      </c>
      <c r="ET145" s="46">
        <f t="shared" si="50"/>
        <v>0.10644618211410392</v>
      </c>
      <c r="EU145" s="44">
        <f>EW145/1.19</f>
        <v>465000</v>
      </c>
      <c r="EV145" s="44">
        <f>EU145*19%</f>
        <v>88350</v>
      </c>
      <c r="EW145" s="44">
        <f>+ROUNDUP(IF(ET145&lt;15%,ER145,EQ145),0)</f>
        <v>553350</v>
      </c>
      <c r="EX145" s="103">
        <f t="shared" si="46"/>
        <v>553350</v>
      </c>
      <c r="EY145" s="26" t="s">
        <v>109</v>
      </c>
    </row>
    <row r="146" spans="1:155" ht="26.1" customHeight="1" x14ac:dyDescent="0.35">
      <c r="A146" s="231" t="s">
        <v>79</v>
      </c>
      <c r="B146" s="232"/>
      <c r="C146" s="232"/>
      <c r="D146" s="110"/>
      <c r="E146" s="110"/>
      <c r="F146" s="111"/>
      <c r="G146" s="129"/>
      <c r="H146" s="28"/>
      <c r="I146" s="29"/>
      <c r="J146" s="29"/>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c r="AY146" s="29"/>
      <c r="AZ146" s="29"/>
      <c r="BA146" s="29"/>
      <c r="BB146" s="29"/>
      <c r="BC146" s="29"/>
      <c r="BD146" s="29"/>
      <c r="BE146" s="29"/>
      <c r="BF146" s="29"/>
      <c r="BG146" s="29"/>
      <c r="BH146" s="29"/>
      <c r="BI146" s="29"/>
      <c r="BJ146" s="29"/>
      <c r="BK146" s="29"/>
      <c r="BL146" s="29"/>
      <c r="BM146" s="29"/>
      <c r="BN146" s="29"/>
      <c r="BO146" s="29"/>
      <c r="BP146" s="29"/>
      <c r="BQ146" s="29"/>
      <c r="BR146" s="29"/>
      <c r="BS146" s="29"/>
      <c r="BT146" s="29"/>
      <c r="BU146" s="29"/>
      <c r="BV146" s="29"/>
      <c r="BW146" s="29"/>
      <c r="BX146" s="29"/>
      <c r="BY146" s="29"/>
      <c r="BZ146" s="29"/>
      <c r="CA146" s="29"/>
      <c r="CB146" s="29"/>
      <c r="CC146" s="29"/>
      <c r="CD146" s="29"/>
      <c r="CE146" s="29"/>
      <c r="CF146" s="29"/>
      <c r="CG146" s="29"/>
      <c r="CH146" s="29"/>
      <c r="CI146" s="29"/>
      <c r="CJ146" s="29"/>
      <c r="CK146" s="29"/>
      <c r="CL146" s="29"/>
      <c r="CM146" s="29"/>
      <c r="CN146" s="29"/>
      <c r="CO146" s="29"/>
      <c r="CP146" s="29"/>
      <c r="CQ146" s="29"/>
      <c r="CR146" s="29"/>
      <c r="CS146" s="29"/>
      <c r="CT146" s="29"/>
      <c r="CU146" s="29"/>
      <c r="CV146" s="29"/>
      <c r="CW146" s="29"/>
      <c r="CX146" s="29"/>
      <c r="CY146" s="29"/>
      <c r="CZ146" s="29"/>
      <c r="DA146" s="29"/>
      <c r="DB146" s="29"/>
      <c r="DC146" s="29"/>
      <c r="DD146" s="29"/>
      <c r="DE146" s="29"/>
      <c r="DF146" s="29"/>
      <c r="DG146" s="29"/>
      <c r="DH146" s="29"/>
      <c r="DI146" s="29"/>
      <c r="DJ146" s="29"/>
      <c r="DK146" s="29"/>
      <c r="DL146" s="29"/>
      <c r="DM146" s="29"/>
      <c r="DN146" s="57"/>
      <c r="DO146" s="87"/>
      <c r="DP146" s="88"/>
      <c r="DQ146" s="88"/>
      <c r="DR146" s="88"/>
      <c r="DS146" s="88"/>
      <c r="DT146" s="88"/>
      <c r="DU146" s="88"/>
      <c r="DV146" s="88"/>
      <c r="DW146" s="88"/>
      <c r="DX146" s="88"/>
      <c r="DY146" s="88"/>
      <c r="DZ146" s="88"/>
      <c r="EA146" s="88"/>
      <c r="EB146" s="88"/>
      <c r="EC146" s="88"/>
      <c r="ED146" s="88"/>
      <c r="EE146" s="88"/>
      <c r="EF146" s="88"/>
      <c r="EG146" s="88"/>
      <c r="EH146" s="88"/>
      <c r="EI146" s="88"/>
      <c r="EJ146" s="88"/>
      <c r="EK146" s="88"/>
      <c r="EL146" s="88"/>
      <c r="EM146" s="88"/>
      <c r="EN146" s="88"/>
      <c r="EO146" s="88"/>
      <c r="EP146" s="88"/>
      <c r="EQ146" s="55"/>
      <c r="ER146" s="55"/>
      <c r="ES146" s="55"/>
      <c r="ET146" s="56"/>
      <c r="EU146" s="57"/>
      <c r="EV146" s="57"/>
      <c r="EW146" s="58"/>
      <c r="EX146" s="59"/>
      <c r="EY146" s="60"/>
    </row>
    <row r="147" spans="1:155" ht="189.4" x14ac:dyDescent="0.35">
      <c r="A147" s="27">
        <v>131</v>
      </c>
      <c r="B147" s="130" t="s">
        <v>80</v>
      </c>
      <c r="C147" s="130" t="s">
        <v>379</v>
      </c>
      <c r="D147" s="41" t="s">
        <v>17</v>
      </c>
      <c r="E147" s="41">
        <v>10</v>
      </c>
      <c r="F147" s="63"/>
      <c r="G147" s="125"/>
      <c r="H147" s="17"/>
      <c r="I147" s="18"/>
      <c r="J147" s="18"/>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19"/>
      <c r="BU147" s="19"/>
      <c r="BV147" s="19"/>
      <c r="BW147" s="19"/>
      <c r="BX147" s="19"/>
      <c r="BY147" s="19"/>
      <c r="BZ147" s="19"/>
      <c r="CA147" s="19"/>
      <c r="CB147" s="19"/>
      <c r="CC147" s="19"/>
      <c r="CD147" s="19"/>
      <c r="CE147" s="19"/>
      <c r="CF147" s="19"/>
      <c r="CG147" s="19"/>
      <c r="CH147" s="19"/>
      <c r="CI147" s="19"/>
      <c r="CJ147" s="19"/>
      <c r="CK147" s="19"/>
      <c r="CL147" s="19"/>
      <c r="CM147" s="19"/>
      <c r="CN147" s="19"/>
      <c r="CO147" s="19"/>
      <c r="CP147" s="19"/>
      <c r="CQ147" s="19"/>
      <c r="CR147" s="19"/>
      <c r="CS147" s="19"/>
      <c r="CT147" s="19"/>
      <c r="CU147" s="19"/>
      <c r="CV147" s="19"/>
      <c r="CW147" s="19"/>
      <c r="CX147" s="19"/>
      <c r="CY147" s="19"/>
      <c r="CZ147" s="19"/>
      <c r="DA147" s="19"/>
      <c r="DB147" s="19"/>
      <c r="DC147" s="19"/>
      <c r="DD147" s="19"/>
      <c r="DE147" s="19"/>
      <c r="DF147" s="19"/>
      <c r="DG147" s="19"/>
      <c r="DH147" s="19"/>
      <c r="DI147" s="19"/>
      <c r="DJ147" s="19"/>
      <c r="DK147" s="19"/>
      <c r="DL147" s="19"/>
      <c r="DM147" s="19"/>
      <c r="DN147" s="44"/>
      <c r="DO147" s="22"/>
      <c r="DP147" s="23"/>
      <c r="DQ147" s="23"/>
      <c r="DR147" s="23"/>
      <c r="DS147" s="23"/>
      <c r="DT147" s="23"/>
      <c r="DU147" s="23"/>
      <c r="DV147" s="23"/>
      <c r="DW147" s="23"/>
      <c r="DX147" s="23"/>
      <c r="DY147" s="23"/>
      <c r="DZ147" s="23"/>
      <c r="EA147" s="23"/>
      <c r="EB147" s="23"/>
      <c r="EC147" s="23"/>
      <c r="ED147" s="23"/>
      <c r="EE147" s="23">
        <v>450000</v>
      </c>
      <c r="EF147" s="23">
        <v>370000</v>
      </c>
      <c r="EG147" s="23"/>
      <c r="EH147" s="23"/>
      <c r="EI147" s="23"/>
      <c r="EJ147" s="23"/>
      <c r="EK147" s="23"/>
      <c r="EL147" s="23"/>
      <c r="EM147" s="23"/>
      <c r="EN147" s="23"/>
      <c r="EO147" s="23"/>
      <c r="EP147" s="23"/>
      <c r="EQ147" s="45">
        <f>MEDIAN(EE147,EF147)</f>
        <v>410000</v>
      </c>
      <c r="ER147" s="45">
        <f>AVERAGE(EE147,EF147)</f>
        <v>410000</v>
      </c>
      <c r="ES147" s="45">
        <f>+STDEV(EE147,EF147)</f>
        <v>56568.5424949238</v>
      </c>
      <c r="ET147" s="46">
        <f>ES147/ER147</f>
        <v>0.1379720548656678</v>
      </c>
      <c r="EU147" s="44">
        <f>EW147/1.19</f>
        <v>344537.81512605044</v>
      </c>
      <c r="EV147" s="44">
        <f>EU147*19%</f>
        <v>65462.184873949584</v>
      </c>
      <c r="EW147" s="44">
        <f>+ROUNDUP(IF(ET147&lt;15%,ER147,EQ147),0)</f>
        <v>410000</v>
      </c>
      <c r="EX147" s="103">
        <f t="shared" ref="EX147:EX172" si="51">+EW147*E147</f>
        <v>4100000</v>
      </c>
      <c r="EY147" s="26" t="s">
        <v>109</v>
      </c>
    </row>
    <row r="148" spans="1:155" ht="94.5" x14ac:dyDescent="0.35">
      <c r="A148" s="27">
        <v>132</v>
      </c>
      <c r="B148" s="130" t="s">
        <v>81</v>
      </c>
      <c r="C148" s="130" t="s">
        <v>82</v>
      </c>
      <c r="D148" s="41" t="s">
        <v>24</v>
      </c>
      <c r="E148" s="41">
        <v>2</v>
      </c>
      <c r="F148" s="63"/>
      <c r="G148" s="125"/>
      <c r="H148" s="17"/>
      <c r="I148" s="18"/>
      <c r="J148" s="18"/>
      <c r="K148" s="19"/>
      <c r="L148" s="19"/>
      <c r="M148" s="19"/>
      <c r="N148" s="19"/>
      <c r="O148" s="19"/>
      <c r="P148" s="19"/>
      <c r="Q148" s="48">
        <v>430000</v>
      </c>
      <c r="R148" s="48">
        <v>451930</v>
      </c>
      <c r="S148" s="48">
        <v>410000</v>
      </c>
      <c r="T148" s="48">
        <v>430910</v>
      </c>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19"/>
      <c r="BU148" s="19"/>
      <c r="BV148" s="19"/>
      <c r="BW148" s="19"/>
      <c r="BX148" s="19"/>
      <c r="BY148" s="19"/>
      <c r="BZ148" s="19"/>
      <c r="CA148" s="19"/>
      <c r="CB148" s="19"/>
      <c r="CC148" s="19"/>
      <c r="CD148" s="19"/>
      <c r="CE148" s="19"/>
      <c r="CF148" s="19"/>
      <c r="CG148" s="19"/>
      <c r="CH148" s="19"/>
      <c r="CI148" s="19"/>
      <c r="CJ148" s="19"/>
      <c r="CK148" s="19"/>
      <c r="CL148" s="48">
        <v>470000</v>
      </c>
      <c r="CM148" s="48">
        <v>493970</v>
      </c>
      <c r="CN148" s="19"/>
      <c r="CO148" s="19"/>
      <c r="CP148" s="19"/>
      <c r="CQ148" s="19"/>
      <c r="CR148" s="19"/>
      <c r="CS148" s="19"/>
      <c r="CT148" s="19"/>
      <c r="CU148" s="19"/>
      <c r="CV148" s="19"/>
      <c r="CW148" s="19"/>
      <c r="CX148" s="19"/>
      <c r="CY148" s="19"/>
      <c r="CZ148" s="19"/>
      <c r="DA148" s="19"/>
      <c r="DB148" s="19"/>
      <c r="DC148" s="19"/>
      <c r="DD148" s="19"/>
      <c r="DE148" s="19"/>
      <c r="DF148" s="19"/>
      <c r="DG148" s="19"/>
      <c r="DH148" s="19"/>
      <c r="DI148" s="19"/>
      <c r="DJ148" s="19"/>
      <c r="DK148" s="19"/>
      <c r="DL148" s="19"/>
      <c r="DM148" s="19"/>
      <c r="DN148" s="44"/>
      <c r="DO148" s="22"/>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45">
        <f>MEDIAN(R148,T148,CM148)</f>
        <v>451930</v>
      </c>
      <c r="ER148" s="45">
        <f>AVERAGE(R148,T148,CM148)</f>
        <v>458936.66666666669</v>
      </c>
      <c r="ES148" s="45">
        <f>+STDEV(R148,T148,CM148)</f>
        <v>32108.580369323918</v>
      </c>
      <c r="ET148" s="46">
        <f t="shared" si="50"/>
        <v>6.9962987709249455E-2</v>
      </c>
      <c r="EU148" s="44">
        <f>EW148/1.19</f>
        <v>385661.34453781514</v>
      </c>
      <c r="EV148" s="44">
        <f>EU148*19%</f>
        <v>73275.655462184877</v>
      </c>
      <c r="EW148" s="44">
        <f>+ROUNDUP(IF(ET148&lt;15%,ER148,EQ148),0)</f>
        <v>458937</v>
      </c>
      <c r="EX148" s="103">
        <f t="shared" si="51"/>
        <v>917874</v>
      </c>
      <c r="EY148" s="26" t="s">
        <v>109</v>
      </c>
    </row>
    <row r="149" spans="1:155" ht="40.5" x14ac:dyDescent="0.35">
      <c r="A149" s="27">
        <v>133</v>
      </c>
      <c r="B149" s="130" t="s">
        <v>99</v>
      </c>
      <c r="C149" s="143" t="s">
        <v>279</v>
      </c>
      <c r="D149" s="41" t="s">
        <v>24</v>
      </c>
      <c r="E149" s="41">
        <v>4</v>
      </c>
      <c r="F149" s="63"/>
      <c r="G149" s="125"/>
      <c r="H149" s="17"/>
      <c r="I149" s="18"/>
      <c r="J149" s="18"/>
      <c r="K149" s="19"/>
      <c r="L149" s="19"/>
      <c r="M149" s="19"/>
      <c r="N149" s="19"/>
      <c r="O149" s="19"/>
      <c r="P149" s="19"/>
      <c r="Q149" s="48">
        <v>310000</v>
      </c>
      <c r="R149" s="48">
        <v>325810</v>
      </c>
      <c r="S149" s="48">
        <v>360000</v>
      </c>
      <c r="T149" s="48">
        <v>378360</v>
      </c>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19"/>
      <c r="BU149" s="19"/>
      <c r="BV149" s="19"/>
      <c r="BW149" s="19"/>
      <c r="BX149" s="19"/>
      <c r="BY149" s="19"/>
      <c r="BZ149" s="19"/>
      <c r="CA149" s="19"/>
      <c r="CB149" s="19"/>
      <c r="CC149" s="19"/>
      <c r="CD149" s="19"/>
      <c r="CE149" s="19"/>
      <c r="CF149" s="19"/>
      <c r="CG149" s="19"/>
      <c r="CH149" s="19"/>
      <c r="CI149" s="19"/>
      <c r="CJ149" s="19"/>
      <c r="CK149" s="19"/>
      <c r="CL149" s="48">
        <v>300000</v>
      </c>
      <c r="CM149" s="48">
        <v>315300</v>
      </c>
      <c r="CN149" s="19"/>
      <c r="CO149" s="19"/>
      <c r="CP149" s="19"/>
      <c r="CQ149" s="19"/>
      <c r="CR149" s="19"/>
      <c r="CS149" s="19"/>
      <c r="CT149" s="19"/>
      <c r="CU149" s="19"/>
      <c r="CV149" s="19"/>
      <c r="CW149" s="19"/>
      <c r="CX149" s="19"/>
      <c r="CY149" s="19"/>
      <c r="CZ149" s="19"/>
      <c r="DA149" s="19"/>
      <c r="DB149" s="19"/>
      <c r="DC149" s="19"/>
      <c r="DD149" s="19"/>
      <c r="DE149" s="19"/>
      <c r="DF149" s="19"/>
      <c r="DG149" s="19"/>
      <c r="DH149" s="19"/>
      <c r="DI149" s="19"/>
      <c r="DJ149" s="19"/>
      <c r="DK149" s="19"/>
      <c r="DL149" s="19"/>
      <c r="DM149" s="19"/>
      <c r="DN149" s="44"/>
      <c r="DO149" s="22"/>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45">
        <f>MEDIAN(R149,T149,CM149)</f>
        <v>325810</v>
      </c>
      <c r="ER149" s="45">
        <f>AVERAGE(R149,T149,CM149)</f>
        <v>339823.33333333331</v>
      </c>
      <c r="ES149" s="45">
        <f>+STDEV(R149,T149,CM149)</f>
        <v>33784.923166011984</v>
      </c>
      <c r="ET149" s="46">
        <f t="shared" ref="ET149:ET151" si="52">ES149/ER149</f>
        <v>9.9419080010236652E-2</v>
      </c>
      <c r="EU149" s="44">
        <f>EW149/1.19</f>
        <v>285566.38655462186</v>
      </c>
      <c r="EV149" s="44">
        <f>EU149*19%</f>
        <v>54257.613445378156</v>
      </c>
      <c r="EW149" s="44">
        <f>+ROUNDUP(IF(ET149&lt;15%,ER149,EQ149),0)</f>
        <v>339824</v>
      </c>
      <c r="EX149" s="103">
        <f t="shared" si="51"/>
        <v>1359296</v>
      </c>
      <c r="EY149" s="26" t="s">
        <v>109</v>
      </c>
    </row>
    <row r="150" spans="1:155" ht="81" x14ac:dyDescent="0.35">
      <c r="A150" s="27">
        <f t="shared" ref="A150:A166" si="53">+A149+1</f>
        <v>134</v>
      </c>
      <c r="B150" s="130" t="s">
        <v>83</v>
      </c>
      <c r="C150" s="123" t="s">
        <v>226</v>
      </c>
      <c r="D150" s="41" t="s">
        <v>24</v>
      </c>
      <c r="E150" s="41">
        <v>2</v>
      </c>
      <c r="F150" s="63"/>
      <c r="G150" s="125"/>
      <c r="H150" s="17"/>
      <c r="I150" s="18"/>
      <c r="J150" s="18"/>
      <c r="K150" s="19"/>
      <c r="L150" s="19"/>
      <c r="M150" s="19"/>
      <c r="N150" s="19"/>
      <c r="O150" s="19"/>
      <c r="P150" s="19"/>
      <c r="Q150" s="48">
        <v>290000</v>
      </c>
      <c r="R150" s="48">
        <v>304790</v>
      </c>
      <c r="S150" s="48">
        <v>200000</v>
      </c>
      <c r="T150" s="48">
        <v>210200</v>
      </c>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c r="CA150" s="19"/>
      <c r="CB150" s="19"/>
      <c r="CC150" s="19"/>
      <c r="CD150" s="19"/>
      <c r="CE150" s="19"/>
      <c r="CF150" s="19"/>
      <c r="CG150" s="19"/>
      <c r="CH150" s="19"/>
      <c r="CI150" s="19"/>
      <c r="CJ150" s="19"/>
      <c r="CK150" s="19"/>
      <c r="CL150" s="48">
        <v>280000</v>
      </c>
      <c r="CM150" s="48">
        <v>294280</v>
      </c>
      <c r="CN150" s="19"/>
      <c r="CO150" s="19"/>
      <c r="CP150" s="19"/>
      <c r="CQ150" s="19"/>
      <c r="CR150" s="19"/>
      <c r="CS150" s="19"/>
      <c r="CT150" s="19"/>
      <c r="CU150" s="19"/>
      <c r="CV150" s="19"/>
      <c r="CW150" s="19"/>
      <c r="CX150" s="19"/>
      <c r="CY150" s="19"/>
      <c r="CZ150" s="19"/>
      <c r="DA150" s="19"/>
      <c r="DB150" s="19"/>
      <c r="DC150" s="19"/>
      <c r="DD150" s="19"/>
      <c r="DE150" s="19"/>
      <c r="DF150" s="19"/>
      <c r="DG150" s="19"/>
      <c r="DH150" s="19"/>
      <c r="DI150" s="19"/>
      <c r="DJ150" s="19"/>
      <c r="DK150" s="19"/>
      <c r="DL150" s="19"/>
      <c r="DM150" s="19"/>
      <c r="DN150" s="44"/>
      <c r="DO150" s="22"/>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45">
        <f>MEDIAN(R150,T150,CM150)</f>
        <v>294280</v>
      </c>
      <c r="ER150" s="45">
        <f>AVERAGE(R150,T150,CM150)</f>
        <v>269756.66666666669</v>
      </c>
      <c r="ES150" s="45">
        <f>+STDEV(R150,T150,CM150)</f>
        <v>51844.598882943712</v>
      </c>
      <c r="ET150" s="46">
        <f t="shared" si="52"/>
        <v>0.1921902413889445</v>
      </c>
      <c r="EU150" s="44">
        <f>EW150/1.19</f>
        <v>247294.11764705883</v>
      </c>
      <c r="EV150" s="44">
        <f>EU150*19%</f>
        <v>46985.882352941175</v>
      </c>
      <c r="EW150" s="44">
        <f>+ROUNDUP(IF(ET150&lt;15%,ER150,EQ150),0)</f>
        <v>294280</v>
      </c>
      <c r="EX150" s="103">
        <f t="shared" si="51"/>
        <v>588560</v>
      </c>
      <c r="EY150" s="26" t="s">
        <v>220</v>
      </c>
    </row>
    <row r="151" spans="1:155" ht="91.5" customHeight="1" x14ac:dyDescent="0.35">
      <c r="A151" s="27">
        <v>134</v>
      </c>
      <c r="B151" s="74" t="s">
        <v>84</v>
      </c>
      <c r="C151" s="74" t="s">
        <v>395</v>
      </c>
      <c r="D151" s="41" t="s">
        <v>16</v>
      </c>
      <c r="E151" s="41">
        <v>16</v>
      </c>
      <c r="F151" s="63"/>
      <c r="G151" s="125"/>
      <c r="H151" s="17"/>
      <c r="I151" s="18"/>
      <c r="J151" s="18"/>
      <c r="K151" s="19"/>
      <c r="L151" s="19"/>
      <c r="M151" s="19"/>
      <c r="N151" s="19"/>
      <c r="O151" s="19"/>
      <c r="P151" s="19"/>
      <c r="Q151" s="48">
        <v>115000</v>
      </c>
      <c r="R151" s="48">
        <v>120865</v>
      </c>
      <c r="S151" s="48">
        <v>120000</v>
      </c>
      <c r="T151" s="48">
        <v>126120</v>
      </c>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48">
        <v>148000</v>
      </c>
      <c r="BT151" s="48">
        <v>155548</v>
      </c>
      <c r="BU151" s="48"/>
      <c r="BV151" s="48"/>
      <c r="BW151" s="48"/>
      <c r="BX151" s="48"/>
      <c r="BY151" s="48"/>
      <c r="BZ151" s="48"/>
      <c r="CA151" s="48"/>
      <c r="CB151" s="48"/>
      <c r="CC151" s="48"/>
      <c r="CD151" s="48"/>
      <c r="CE151" s="48"/>
      <c r="CF151" s="48"/>
      <c r="CG151" s="48"/>
      <c r="CH151" s="48"/>
      <c r="CI151" s="48"/>
      <c r="CJ151" s="48"/>
      <c r="CK151" s="48"/>
      <c r="CL151" s="48"/>
      <c r="CM151" s="48"/>
      <c r="CN151" s="48"/>
      <c r="CO151" s="48"/>
      <c r="CP151" s="48"/>
      <c r="CQ151" s="48"/>
      <c r="CR151" s="48"/>
      <c r="CS151" s="48"/>
      <c r="CT151" s="48"/>
      <c r="CU151" s="48"/>
      <c r="CV151" s="48"/>
      <c r="CW151" s="48"/>
      <c r="CX151" s="48"/>
      <c r="CY151" s="48"/>
      <c r="CZ151" s="48"/>
      <c r="DA151" s="48"/>
      <c r="DB151" s="48"/>
      <c r="DC151" s="48"/>
      <c r="DD151" s="48"/>
      <c r="DE151" s="48"/>
      <c r="DF151" s="48"/>
      <c r="DG151" s="48"/>
      <c r="DH151" s="48"/>
      <c r="DI151" s="48"/>
      <c r="DJ151" s="48"/>
      <c r="DK151" s="48"/>
      <c r="DL151" s="48"/>
      <c r="DM151" s="48"/>
      <c r="DN151" s="44"/>
      <c r="DO151" s="22"/>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45">
        <f>MEDIAN(R151,T151,BT151)</f>
        <v>126120</v>
      </c>
      <c r="ER151" s="45">
        <f>AVERAGE(R151,T151,BT151)</f>
        <v>134177.66666666666</v>
      </c>
      <c r="ES151" s="45">
        <f>+STDEV(R151,T151,BT151)</f>
        <v>18692.835962831643</v>
      </c>
      <c r="ET151" s="46">
        <f t="shared" si="52"/>
        <v>0.13931406341466399</v>
      </c>
      <c r="EU151" s="44">
        <f t="shared" ref="EU151:EU152" si="54">EW151/1.19</f>
        <v>112754.62184873949</v>
      </c>
      <c r="EV151" s="44">
        <f t="shared" ref="EV151:EV169" si="55">EU151*19%</f>
        <v>21423.378151260506</v>
      </c>
      <c r="EW151" s="44">
        <f t="shared" ref="EW151:EW152" si="56">+ROUNDUP(IF(ET151&lt;15%,ER151,EQ151),0)</f>
        <v>134178</v>
      </c>
      <c r="EX151" s="103">
        <f t="shared" si="51"/>
        <v>2146848</v>
      </c>
      <c r="EY151" s="26" t="s">
        <v>109</v>
      </c>
    </row>
    <row r="152" spans="1:155" ht="81" x14ac:dyDescent="0.35">
      <c r="A152" s="27">
        <v>135</v>
      </c>
      <c r="B152" s="74" t="s">
        <v>85</v>
      </c>
      <c r="C152" s="74" t="s">
        <v>190</v>
      </c>
      <c r="D152" s="41" t="s">
        <v>24</v>
      </c>
      <c r="E152" s="41">
        <v>2</v>
      </c>
      <c r="F152" s="63"/>
      <c r="G152" s="125"/>
      <c r="H152" s="17"/>
      <c r="I152" s="18"/>
      <c r="J152" s="18"/>
      <c r="K152" s="19"/>
      <c r="L152" s="19"/>
      <c r="M152" s="19"/>
      <c r="N152" s="19"/>
      <c r="O152" s="19"/>
      <c r="P152" s="19"/>
      <c r="Q152" s="19"/>
      <c r="R152" s="19"/>
      <c r="S152" s="19"/>
      <c r="T152" s="19"/>
      <c r="U152" s="19"/>
      <c r="V152" s="19"/>
      <c r="W152" s="19"/>
      <c r="X152" s="19"/>
      <c r="Y152" s="19"/>
      <c r="Z152" s="19"/>
      <c r="AA152" s="19"/>
      <c r="AB152" s="19"/>
      <c r="AC152" s="19"/>
      <c r="AD152" s="19"/>
      <c r="AE152" s="48">
        <v>750000</v>
      </c>
      <c r="AF152" s="48">
        <v>788250</v>
      </c>
      <c r="AG152" s="48">
        <v>750000</v>
      </c>
      <c r="AH152" s="48">
        <v>788250</v>
      </c>
      <c r="AI152" s="19"/>
      <c r="AJ152" s="19"/>
      <c r="AK152" s="19"/>
      <c r="AL152" s="19"/>
      <c r="AM152" s="19"/>
      <c r="AN152" s="19"/>
      <c r="AO152" s="19"/>
      <c r="AP152" s="19"/>
      <c r="AQ152" s="19"/>
      <c r="AR152" s="19"/>
      <c r="AS152" s="19"/>
      <c r="AT152" s="19"/>
      <c r="AU152" s="19"/>
      <c r="AV152" s="19"/>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19"/>
      <c r="BU152" s="19"/>
      <c r="BV152" s="19"/>
      <c r="BW152" s="19"/>
      <c r="BX152" s="19"/>
      <c r="BY152" s="19"/>
      <c r="BZ152" s="19"/>
      <c r="CA152" s="19"/>
      <c r="CB152" s="19"/>
      <c r="CC152" s="19"/>
      <c r="CD152" s="19"/>
      <c r="CE152" s="19"/>
      <c r="CF152" s="19"/>
      <c r="CG152" s="19"/>
      <c r="CH152" s="19"/>
      <c r="CI152" s="19"/>
      <c r="CJ152" s="19"/>
      <c r="CK152" s="19"/>
      <c r="CL152" s="19"/>
      <c r="CM152" s="19"/>
      <c r="CN152" s="19"/>
      <c r="CO152" s="19"/>
      <c r="CP152" s="19"/>
      <c r="CQ152" s="19"/>
      <c r="CR152" s="19"/>
      <c r="CS152" s="19"/>
      <c r="CT152" s="19"/>
      <c r="CU152" s="19"/>
      <c r="CV152" s="19"/>
      <c r="CW152" s="19"/>
      <c r="CX152" s="19"/>
      <c r="CY152" s="19"/>
      <c r="CZ152" s="19"/>
      <c r="DA152" s="19"/>
      <c r="DB152" s="19"/>
      <c r="DC152" s="19"/>
      <c r="DD152" s="19"/>
      <c r="DE152" s="19"/>
      <c r="DF152" s="19"/>
      <c r="DG152" s="19"/>
      <c r="DH152" s="19"/>
      <c r="DI152" s="19"/>
      <c r="DJ152" s="19"/>
      <c r="DK152" s="19"/>
      <c r="DL152" s="19"/>
      <c r="DM152" s="19"/>
      <c r="DN152" s="44"/>
      <c r="DO152" s="22"/>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45">
        <f>MEDIAN(AF152,AH152)</f>
        <v>788250</v>
      </c>
      <c r="ER152" s="45">
        <f>AVERAGE(AF152,AH152)</f>
        <v>788250</v>
      </c>
      <c r="ES152" s="45">
        <f>+STDEV(AF152,AH152)</f>
        <v>0</v>
      </c>
      <c r="ET152" s="46">
        <f t="shared" si="50"/>
        <v>0</v>
      </c>
      <c r="EU152" s="44">
        <f t="shared" si="54"/>
        <v>662394.95798319334</v>
      </c>
      <c r="EV152" s="44">
        <f t="shared" si="55"/>
        <v>125855.04201680674</v>
      </c>
      <c r="EW152" s="44">
        <f t="shared" si="56"/>
        <v>788250</v>
      </c>
      <c r="EX152" s="103">
        <f t="shared" si="51"/>
        <v>1576500</v>
      </c>
      <c r="EY152" s="26" t="s">
        <v>109</v>
      </c>
    </row>
    <row r="153" spans="1:155" ht="81" x14ac:dyDescent="0.35">
      <c r="A153" s="27">
        <v>136</v>
      </c>
      <c r="B153" s="145" t="s">
        <v>47</v>
      </c>
      <c r="C153" s="64" t="s">
        <v>172</v>
      </c>
      <c r="D153" s="41" t="s">
        <v>24</v>
      </c>
      <c r="E153" s="41">
        <v>1</v>
      </c>
      <c r="F153" s="63"/>
      <c r="G153" s="125"/>
      <c r="H153" s="17"/>
      <c r="I153" s="18"/>
      <c r="J153" s="18"/>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48">
        <v>1280000</v>
      </c>
      <c r="AP153" s="48">
        <v>1345280</v>
      </c>
      <c r="AQ153" s="48">
        <v>1360000</v>
      </c>
      <c r="AR153" s="48">
        <v>1429360</v>
      </c>
      <c r="AS153" s="48">
        <v>1512608</v>
      </c>
      <c r="AT153" s="19"/>
      <c r="AU153" s="19"/>
      <c r="AV153" s="19"/>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19"/>
      <c r="BU153" s="19"/>
      <c r="BV153" s="19"/>
      <c r="BW153" s="19"/>
      <c r="BX153" s="19"/>
      <c r="BY153" s="19"/>
      <c r="BZ153" s="19"/>
      <c r="CA153" s="19"/>
      <c r="CB153" s="19"/>
      <c r="CC153" s="19"/>
      <c r="CD153" s="19"/>
      <c r="CE153" s="19"/>
      <c r="CF153" s="19"/>
      <c r="CG153" s="19"/>
      <c r="CH153" s="19"/>
      <c r="CI153" s="19"/>
      <c r="CJ153" s="19"/>
      <c r="CK153" s="19"/>
      <c r="CL153" s="19"/>
      <c r="CM153" s="19"/>
      <c r="CN153" s="19"/>
      <c r="CO153" s="19"/>
      <c r="CP153" s="19"/>
      <c r="CQ153" s="19"/>
      <c r="CR153" s="19"/>
      <c r="CS153" s="19"/>
      <c r="CT153" s="19"/>
      <c r="CU153" s="19"/>
      <c r="CV153" s="19"/>
      <c r="CW153" s="19"/>
      <c r="CX153" s="19"/>
      <c r="CY153" s="19"/>
      <c r="CZ153" s="19"/>
      <c r="DA153" s="19"/>
      <c r="DB153" s="19"/>
      <c r="DC153" s="19"/>
      <c r="DD153" s="19"/>
      <c r="DE153" s="19"/>
      <c r="DF153" s="19"/>
      <c r="DG153" s="19"/>
      <c r="DH153" s="19"/>
      <c r="DI153" s="19"/>
      <c r="DJ153" s="19"/>
      <c r="DK153" s="19"/>
      <c r="DL153" s="19"/>
      <c r="DM153" s="19"/>
      <c r="DN153" s="44"/>
      <c r="DO153" s="22"/>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45">
        <f>MEDIAN(AP153,AR153,AS153)</f>
        <v>1429360</v>
      </c>
      <c r="ER153" s="45">
        <f>AVERAGE(AP153,AR153,AS153)</f>
        <v>1429082.6666666667</v>
      </c>
      <c r="ES153" s="45">
        <f>+STDEV(AP153,AR153,AS153)</f>
        <v>83664.344743345311</v>
      </c>
      <c r="ET153" s="46">
        <f t="shared" si="50"/>
        <v>5.8544090341878033E-2</v>
      </c>
      <c r="EU153" s="44">
        <v>1429083</v>
      </c>
      <c r="EV153" s="47">
        <v>0</v>
      </c>
      <c r="EW153" s="44">
        <v>1429083</v>
      </c>
      <c r="EX153" s="103">
        <f t="shared" si="51"/>
        <v>1429083</v>
      </c>
      <c r="EY153" s="26" t="s">
        <v>109</v>
      </c>
    </row>
    <row r="154" spans="1:155" ht="27" x14ac:dyDescent="0.35">
      <c r="A154" s="27">
        <f t="shared" si="53"/>
        <v>137</v>
      </c>
      <c r="B154" s="64" t="s">
        <v>136</v>
      </c>
      <c r="C154" s="64" t="s">
        <v>135</v>
      </c>
      <c r="D154" s="41" t="s">
        <v>24</v>
      </c>
      <c r="E154" s="41">
        <v>1</v>
      </c>
      <c r="F154" s="63"/>
      <c r="G154" s="125"/>
      <c r="H154" s="17"/>
      <c r="I154" s="18"/>
      <c r="J154" s="18"/>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48">
        <v>1200000</v>
      </c>
      <c r="AP154" s="48">
        <v>1261200</v>
      </c>
      <c r="AQ154" s="48">
        <v>1200000</v>
      </c>
      <c r="AR154" s="48">
        <v>1261200</v>
      </c>
      <c r="AS154" s="48">
        <v>1880000</v>
      </c>
      <c r="AT154" s="48"/>
      <c r="AU154" s="48"/>
      <c r="AV154" s="48"/>
      <c r="AW154" s="48"/>
      <c r="AX154" s="48"/>
      <c r="AY154" s="48"/>
      <c r="AZ154" s="48"/>
      <c r="BA154" s="48"/>
      <c r="BB154" s="48"/>
      <c r="BC154" s="48"/>
      <c r="BD154" s="48"/>
      <c r="BE154" s="48"/>
      <c r="BF154" s="48"/>
      <c r="BG154" s="48"/>
      <c r="BH154" s="48"/>
      <c r="BI154" s="48"/>
      <c r="BJ154" s="48"/>
      <c r="BK154" s="48"/>
      <c r="BL154" s="48"/>
      <c r="BM154" s="48"/>
      <c r="BN154" s="48"/>
      <c r="BO154" s="48"/>
      <c r="BP154" s="48"/>
      <c r="BQ154" s="48"/>
      <c r="BR154" s="48"/>
      <c r="BS154" s="48"/>
      <c r="BT154" s="48"/>
      <c r="BU154" s="48"/>
      <c r="BV154" s="48"/>
      <c r="BW154" s="48"/>
      <c r="BX154" s="48"/>
      <c r="BY154" s="48"/>
      <c r="BZ154" s="48"/>
      <c r="CA154" s="48"/>
      <c r="CB154" s="48"/>
      <c r="CC154" s="48"/>
      <c r="CD154" s="48"/>
      <c r="CE154" s="48"/>
      <c r="CF154" s="48"/>
      <c r="CG154" s="48"/>
      <c r="CH154" s="48"/>
      <c r="CI154" s="48"/>
      <c r="CJ154" s="48"/>
      <c r="CK154" s="48"/>
      <c r="CL154" s="48"/>
      <c r="CM154" s="48"/>
      <c r="CN154" s="48"/>
      <c r="CO154" s="48"/>
      <c r="CP154" s="48"/>
      <c r="CQ154" s="48"/>
      <c r="CR154" s="48"/>
      <c r="CS154" s="48"/>
      <c r="CT154" s="48"/>
      <c r="CU154" s="48"/>
      <c r="CV154" s="48"/>
      <c r="CW154" s="48"/>
      <c r="CX154" s="48"/>
      <c r="CY154" s="48"/>
      <c r="CZ154" s="48"/>
      <c r="DA154" s="48"/>
      <c r="DB154" s="48"/>
      <c r="DC154" s="48"/>
      <c r="DD154" s="48"/>
      <c r="DE154" s="48"/>
      <c r="DF154" s="48"/>
      <c r="DG154" s="48"/>
      <c r="DH154" s="48"/>
      <c r="DI154" s="48"/>
      <c r="DJ154" s="48"/>
      <c r="DK154" s="48"/>
      <c r="DL154" s="48"/>
      <c r="DM154" s="48"/>
      <c r="DN154" s="44"/>
      <c r="DO154" s="22"/>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45">
        <f>MEDIAN(AP154,AR154,AS154)</f>
        <v>1261200</v>
      </c>
      <c r="ER154" s="45">
        <f>AVERAGE(AP154,AR154,AS154)</f>
        <v>1467466.6666666667</v>
      </c>
      <c r="ES154" s="45">
        <f>+STDEV(AP154,AR154,AS154)</f>
        <v>357264.34657454066</v>
      </c>
      <c r="ET154" s="46">
        <f t="shared" si="50"/>
        <v>0.2434565327375118</v>
      </c>
      <c r="EU154" s="44">
        <f t="shared" ref="EU154" si="57">EW154/1.19</f>
        <v>1059831.9327731093</v>
      </c>
      <c r="EV154" s="44">
        <f t="shared" si="55"/>
        <v>201368.06722689077</v>
      </c>
      <c r="EW154" s="44">
        <f t="shared" ref="EW154" si="58">+ROUNDUP(IF(ET154&lt;15%,ER154,EQ154),0)</f>
        <v>1261200</v>
      </c>
      <c r="EX154" s="103">
        <f t="shared" si="51"/>
        <v>1261200</v>
      </c>
      <c r="EY154" s="26" t="s">
        <v>220</v>
      </c>
    </row>
    <row r="155" spans="1:155" ht="94.5" x14ac:dyDescent="0.35">
      <c r="A155" s="27">
        <v>137</v>
      </c>
      <c r="B155" s="145" t="s">
        <v>167</v>
      </c>
      <c r="C155" s="64" t="s">
        <v>390</v>
      </c>
      <c r="D155" s="41" t="s">
        <v>24</v>
      </c>
      <c r="E155" s="41">
        <v>1</v>
      </c>
      <c r="F155" s="63"/>
      <c r="G155" s="125"/>
      <c r="H155" s="17"/>
      <c r="I155" s="18"/>
      <c r="J155" s="18"/>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48">
        <v>2000000</v>
      </c>
      <c r="AL155" s="48">
        <v>2102000</v>
      </c>
      <c r="AM155" s="48">
        <v>2460000</v>
      </c>
      <c r="AN155" s="48">
        <v>2350000</v>
      </c>
      <c r="AO155" s="19"/>
      <c r="AP155" s="19"/>
      <c r="AQ155" s="19"/>
      <c r="AR155" s="19"/>
      <c r="AS155" s="19"/>
      <c r="AT155" s="19"/>
      <c r="AU155" s="19"/>
      <c r="AV155" s="19"/>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19"/>
      <c r="BU155" s="19"/>
      <c r="BV155" s="19"/>
      <c r="BW155" s="19"/>
      <c r="BX155" s="19"/>
      <c r="BY155" s="19"/>
      <c r="BZ155" s="19"/>
      <c r="CA155" s="19"/>
      <c r="CB155" s="19"/>
      <c r="CC155" s="19"/>
      <c r="CD155" s="19"/>
      <c r="CE155" s="19"/>
      <c r="CF155" s="19"/>
      <c r="CG155" s="19"/>
      <c r="CH155" s="19"/>
      <c r="CI155" s="19"/>
      <c r="CJ155" s="19"/>
      <c r="CK155" s="19"/>
      <c r="CL155" s="19"/>
      <c r="CM155" s="19"/>
      <c r="CN155" s="19"/>
      <c r="CO155" s="19"/>
      <c r="CP155" s="19"/>
      <c r="CQ155" s="19"/>
      <c r="CR155" s="19"/>
      <c r="CS155" s="19"/>
      <c r="CT155" s="19"/>
      <c r="CU155" s="19"/>
      <c r="CV155" s="19"/>
      <c r="CW155" s="19"/>
      <c r="CX155" s="19"/>
      <c r="CY155" s="19"/>
      <c r="CZ155" s="19"/>
      <c r="DA155" s="19"/>
      <c r="DB155" s="19"/>
      <c r="DC155" s="19"/>
      <c r="DD155" s="19"/>
      <c r="DE155" s="19"/>
      <c r="DF155" s="19"/>
      <c r="DG155" s="19"/>
      <c r="DH155" s="19"/>
      <c r="DI155" s="19"/>
      <c r="DJ155" s="19"/>
      <c r="DK155" s="19"/>
      <c r="DL155" s="19"/>
      <c r="DM155" s="19"/>
      <c r="DN155" s="44"/>
      <c r="DO155" s="22"/>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45">
        <f>MEDIAN(AL155,AM155,AN155)</f>
        <v>2350000</v>
      </c>
      <c r="ER155" s="45">
        <f>AVERAGE(AL155,AM155,AN155)</f>
        <v>2304000</v>
      </c>
      <c r="ES155" s="45">
        <f>+STDEV(AL155,AM155,AN155)</f>
        <v>183379.38815472147</v>
      </c>
      <c r="ET155" s="46">
        <f t="shared" si="50"/>
        <v>7.9591748331042309E-2</v>
      </c>
      <c r="EU155" s="44">
        <f t="shared" ref="EU155:EU166" si="59">EW155/1.19</f>
        <v>1936134.4537815128</v>
      </c>
      <c r="EV155" s="44">
        <f t="shared" si="55"/>
        <v>367865.54621848743</v>
      </c>
      <c r="EW155" s="44">
        <f t="shared" ref="EW155:EW166" si="60">+ROUNDUP(IF(ET155&lt;15%,ER155,EQ155),0)</f>
        <v>2304000</v>
      </c>
      <c r="EX155" s="103">
        <f t="shared" si="51"/>
        <v>2304000</v>
      </c>
      <c r="EY155" s="26" t="s">
        <v>109</v>
      </c>
    </row>
    <row r="156" spans="1:155" ht="94.5" x14ac:dyDescent="0.35">
      <c r="A156" s="27">
        <v>138</v>
      </c>
      <c r="B156" s="74" t="s">
        <v>86</v>
      </c>
      <c r="C156" s="74" t="s">
        <v>191</v>
      </c>
      <c r="D156" s="41" t="s">
        <v>17</v>
      </c>
      <c r="E156" s="41">
        <v>100</v>
      </c>
      <c r="F156" s="63"/>
      <c r="G156" s="125"/>
      <c r="H156" s="17"/>
      <c r="I156" s="18"/>
      <c r="J156" s="18"/>
      <c r="K156" s="19"/>
      <c r="L156" s="19"/>
      <c r="M156" s="19"/>
      <c r="N156" s="19"/>
      <c r="O156" s="19"/>
      <c r="P156" s="19"/>
      <c r="Q156" s="19"/>
      <c r="R156" s="19"/>
      <c r="S156" s="19"/>
      <c r="T156" s="19"/>
      <c r="U156" s="19"/>
      <c r="V156" s="19"/>
      <c r="W156" s="19"/>
      <c r="X156" s="19"/>
      <c r="Y156" s="19"/>
      <c r="Z156" s="19"/>
      <c r="AA156" s="19"/>
      <c r="AB156" s="19"/>
      <c r="AC156" s="19"/>
      <c r="AD156" s="19"/>
      <c r="AE156" s="48">
        <v>110000</v>
      </c>
      <c r="AF156" s="48">
        <v>115610</v>
      </c>
      <c r="AG156" s="48">
        <v>98000</v>
      </c>
      <c r="AH156" s="48">
        <v>102998</v>
      </c>
      <c r="AI156" s="19"/>
      <c r="AJ156" s="19"/>
      <c r="AK156" s="19"/>
      <c r="AL156" s="19"/>
      <c r="AM156" s="19"/>
      <c r="AN156" s="19"/>
      <c r="AO156" s="19"/>
      <c r="AP156" s="19"/>
      <c r="AQ156" s="19"/>
      <c r="AR156" s="19"/>
      <c r="AS156" s="19"/>
      <c r="AT156" s="19"/>
      <c r="AU156" s="19"/>
      <c r="AV156" s="19"/>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19"/>
      <c r="BU156" s="19"/>
      <c r="BV156" s="19"/>
      <c r="BW156" s="19"/>
      <c r="BX156" s="19"/>
      <c r="BY156" s="19"/>
      <c r="BZ156" s="19"/>
      <c r="CA156" s="19"/>
      <c r="CB156" s="19"/>
      <c r="CC156" s="19"/>
      <c r="CD156" s="19"/>
      <c r="CE156" s="19"/>
      <c r="CF156" s="19"/>
      <c r="CG156" s="19"/>
      <c r="CH156" s="19"/>
      <c r="CI156" s="19"/>
      <c r="CJ156" s="19"/>
      <c r="CK156" s="19"/>
      <c r="CL156" s="19"/>
      <c r="CM156" s="19"/>
      <c r="CN156" s="19"/>
      <c r="CO156" s="19"/>
      <c r="CP156" s="19"/>
      <c r="CQ156" s="19"/>
      <c r="CR156" s="19"/>
      <c r="CS156" s="19"/>
      <c r="CT156" s="19"/>
      <c r="CU156" s="19"/>
      <c r="CV156" s="19"/>
      <c r="CW156" s="19"/>
      <c r="CX156" s="19"/>
      <c r="CY156" s="19"/>
      <c r="CZ156" s="19"/>
      <c r="DA156" s="19"/>
      <c r="DB156" s="19"/>
      <c r="DC156" s="19"/>
      <c r="DD156" s="19"/>
      <c r="DE156" s="19"/>
      <c r="DF156" s="19"/>
      <c r="DG156" s="19"/>
      <c r="DH156" s="19"/>
      <c r="DI156" s="19"/>
      <c r="DJ156" s="19"/>
      <c r="DK156" s="19"/>
      <c r="DL156" s="19"/>
      <c r="DM156" s="19"/>
      <c r="DN156" s="44"/>
      <c r="DO156" s="22"/>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45">
        <f>MEDIAN(AF156,AH156)</f>
        <v>109304</v>
      </c>
      <c r="ER156" s="45">
        <f>AVERAGE(AF156,AH156)</f>
        <v>109304</v>
      </c>
      <c r="ES156" s="45">
        <f>+STDEV(AF156,AH156)</f>
        <v>8918.0307243247371</v>
      </c>
      <c r="ET156" s="46">
        <f t="shared" si="50"/>
        <v>8.1589243983063178E-2</v>
      </c>
      <c r="EU156" s="44">
        <f t="shared" si="59"/>
        <v>91852.100840336134</v>
      </c>
      <c r="EV156" s="44">
        <f t="shared" si="55"/>
        <v>17451.899159663866</v>
      </c>
      <c r="EW156" s="44">
        <f t="shared" si="60"/>
        <v>109304</v>
      </c>
      <c r="EX156" s="103">
        <f t="shared" si="51"/>
        <v>10930400</v>
      </c>
      <c r="EY156" s="26" t="s">
        <v>109</v>
      </c>
    </row>
    <row r="157" spans="1:155" ht="81" x14ac:dyDescent="0.35">
      <c r="A157" s="27">
        <v>139</v>
      </c>
      <c r="B157" s="74" t="s">
        <v>87</v>
      </c>
      <c r="C157" s="74" t="s">
        <v>192</v>
      </c>
      <c r="D157" s="41" t="s">
        <v>28</v>
      </c>
      <c r="E157" s="41">
        <v>6</v>
      </c>
      <c r="F157" s="63"/>
      <c r="G157" s="125"/>
      <c r="H157" s="17"/>
      <c r="I157" s="18"/>
      <c r="J157" s="18"/>
      <c r="K157" s="19"/>
      <c r="L157" s="19"/>
      <c r="M157" s="19"/>
      <c r="N157" s="19"/>
      <c r="O157" s="19"/>
      <c r="P157" s="19"/>
      <c r="Q157" s="19"/>
      <c r="R157" s="19"/>
      <c r="S157" s="19"/>
      <c r="T157" s="19"/>
      <c r="U157" s="19"/>
      <c r="V157" s="19"/>
      <c r="W157" s="19"/>
      <c r="X157" s="19"/>
      <c r="Y157" s="19"/>
      <c r="Z157" s="19"/>
      <c r="AA157" s="19"/>
      <c r="AB157" s="19"/>
      <c r="AC157" s="19"/>
      <c r="AD157" s="19"/>
      <c r="AE157" s="48">
        <v>35000</v>
      </c>
      <c r="AF157" s="48">
        <v>36785</v>
      </c>
      <c r="AG157" s="48">
        <v>32000</v>
      </c>
      <c r="AH157" s="48">
        <v>33632</v>
      </c>
      <c r="AI157" s="19"/>
      <c r="AJ157" s="19"/>
      <c r="AK157" s="19"/>
      <c r="AL157" s="19"/>
      <c r="AM157" s="19"/>
      <c r="AN157" s="19"/>
      <c r="AO157" s="19"/>
      <c r="AP157" s="19"/>
      <c r="AQ157" s="19"/>
      <c r="AR157" s="19"/>
      <c r="AS157" s="19"/>
      <c r="AT157" s="19"/>
      <c r="AU157" s="19"/>
      <c r="AV157" s="19"/>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19"/>
      <c r="BU157" s="19"/>
      <c r="BV157" s="19"/>
      <c r="BW157" s="19"/>
      <c r="BX157" s="19"/>
      <c r="BY157" s="19"/>
      <c r="BZ157" s="19"/>
      <c r="CA157" s="19"/>
      <c r="CB157" s="19"/>
      <c r="CC157" s="19"/>
      <c r="CD157" s="19"/>
      <c r="CE157" s="19"/>
      <c r="CF157" s="19"/>
      <c r="CG157" s="19"/>
      <c r="CH157" s="19"/>
      <c r="CI157" s="19"/>
      <c r="CJ157" s="19"/>
      <c r="CK157" s="19"/>
      <c r="CL157" s="19"/>
      <c r="CM157" s="19"/>
      <c r="CN157" s="49">
        <v>38000</v>
      </c>
      <c r="CO157" s="49"/>
      <c r="CP157" s="49"/>
      <c r="CQ157" s="49"/>
      <c r="CR157" s="49"/>
      <c r="CS157" s="49"/>
      <c r="CT157" s="49"/>
      <c r="CU157" s="49"/>
      <c r="CV157" s="49"/>
      <c r="CW157" s="49"/>
      <c r="CX157" s="49"/>
      <c r="CY157" s="49"/>
      <c r="CZ157" s="49"/>
      <c r="DA157" s="49"/>
      <c r="DB157" s="49"/>
      <c r="DC157" s="49"/>
      <c r="DD157" s="49"/>
      <c r="DE157" s="49"/>
      <c r="DF157" s="49"/>
      <c r="DG157" s="49"/>
      <c r="DH157" s="49"/>
      <c r="DI157" s="49"/>
      <c r="DJ157" s="49"/>
      <c r="DK157" s="49"/>
      <c r="DL157" s="49"/>
      <c r="DM157" s="49"/>
      <c r="DN157" s="44"/>
      <c r="DO157" s="22"/>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45">
        <f>MEDIAN(AF157,AH157,CN157)</f>
        <v>36785</v>
      </c>
      <c r="ER157" s="45">
        <f>AVERAGE(AF157,AH157,CN157)</f>
        <v>36139</v>
      </c>
      <c r="ES157" s="45">
        <f>+STDEV(AF157,AH157,CN157)</f>
        <v>2254.5161343401383</v>
      </c>
      <c r="ET157" s="46">
        <f t="shared" si="50"/>
        <v>6.2384574402726649E-2</v>
      </c>
      <c r="EU157" s="44">
        <f t="shared" si="59"/>
        <v>30368.907563025212</v>
      </c>
      <c r="EV157" s="44">
        <f t="shared" si="55"/>
        <v>5770.09243697479</v>
      </c>
      <c r="EW157" s="44">
        <f t="shared" si="60"/>
        <v>36139</v>
      </c>
      <c r="EX157" s="103">
        <f t="shared" si="51"/>
        <v>216834</v>
      </c>
      <c r="EY157" s="26" t="s">
        <v>109</v>
      </c>
    </row>
    <row r="158" spans="1:155" ht="27" x14ac:dyDescent="0.35">
      <c r="A158" s="27">
        <f t="shared" si="53"/>
        <v>140</v>
      </c>
      <c r="B158" s="64" t="s">
        <v>134</v>
      </c>
      <c r="C158" s="64" t="s">
        <v>413</v>
      </c>
      <c r="D158" s="41" t="s">
        <v>375</v>
      </c>
      <c r="E158" s="41">
        <v>4</v>
      </c>
      <c r="F158" s="63"/>
      <c r="G158" s="125"/>
      <c r="H158" s="17"/>
      <c r="I158" s="18"/>
      <c r="J158" s="18"/>
      <c r="K158" s="19"/>
      <c r="L158" s="19"/>
      <c r="M158" s="19"/>
      <c r="N158" s="19"/>
      <c r="O158" s="19"/>
      <c r="P158" s="19"/>
      <c r="Q158" s="19"/>
      <c r="R158" s="19"/>
      <c r="S158" s="19"/>
      <c r="T158" s="19"/>
      <c r="U158" s="19"/>
      <c r="V158" s="19"/>
      <c r="W158" s="19"/>
      <c r="X158" s="19"/>
      <c r="Y158" s="19"/>
      <c r="Z158" s="19"/>
      <c r="AA158" s="19"/>
      <c r="AB158" s="19"/>
      <c r="AC158" s="19"/>
      <c r="AD158" s="19"/>
      <c r="AE158" s="48">
        <v>480000</v>
      </c>
      <c r="AF158" s="48">
        <v>504480</v>
      </c>
      <c r="AG158" s="48">
        <v>495000</v>
      </c>
      <c r="AH158" s="48">
        <v>520245</v>
      </c>
      <c r="AI158" s="19"/>
      <c r="AJ158" s="19"/>
      <c r="AK158" s="19"/>
      <c r="AL158" s="19"/>
      <c r="AM158" s="19"/>
      <c r="AN158" s="19"/>
      <c r="AO158" s="19"/>
      <c r="AP158" s="19"/>
      <c r="AQ158" s="19"/>
      <c r="AR158" s="19"/>
      <c r="AS158" s="19"/>
      <c r="AT158" s="19"/>
      <c r="AU158" s="19"/>
      <c r="AV158" s="19"/>
      <c r="AW158" s="19"/>
      <c r="AX158" s="19"/>
      <c r="AY158" s="19"/>
      <c r="AZ158" s="19"/>
      <c r="BA158" s="19"/>
      <c r="BB158" s="19"/>
      <c r="BC158" s="19"/>
      <c r="BD158" s="19"/>
      <c r="BE158" s="19"/>
      <c r="BF158" s="19"/>
      <c r="BG158" s="19"/>
      <c r="BH158" s="19"/>
      <c r="BI158" s="19"/>
      <c r="BJ158" s="19"/>
      <c r="BK158" s="19"/>
      <c r="BL158" s="19"/>
      <c r="BM158" s="19"/>
      <c r="BN158" s="19"/>
      <c r="BO158" s="19"/>
      <c r="BP158" s="19"/>
      <c r="BQ158" s="19"/>
      <c r="BR158" s="19"/>
      <c r="BS158" s="19"/>
      <c r="BT158" s="19"/>
      <c r="BU158" s="19"/>
      <c r="BV158" s="19"/>
      <c r="BW158" s="19"/>
      <c r="BX158" s="19"/>
      <c r="BY158" s="19"/>
      <c r="BZ158" s="19"/>
      <c r="CA158" s="19"/>
      <c r="CB158" s="19"/>
      <c r="CC158" s="19"/>
      <c r="CD158" s="19"/>
      <c r="CE158" s="19"/>
      <c r="CF158" s="19"/>
      <c r="CG158" s="19"/>
      <c r="CH158" s="19"/>
      <c r="CI158" s="19"/>
      <c r="CJ158" s="19"/>
      <c r="CK158" s="19"/>
      <c r="CL158" s="19"/>
      <c r="CM158" s="19"/>
      <c r="CN158" s="19"/>
      <c r="CO158" s="19"/>
      <c r="CP158" s="19"/>
      <c r="CQ158" s="19"/>
      <c r="CR158" s="19"/>
      <c r="CS158" s="19"/>
      <c r="CT158" s="19"/>
      <c r="CU158" s="19"/>
      <c r="CV158" s="19"/>
      <c r="CW158" s="19"/>
      <c r="CX158" s="19"/>
      <c r="CY158" s="19"/>
      <c r="CZ158" s="19"/>
      <c r="DA158" s="19"/>
      <c r="DB158" s="19"/>
      <c r="DC158" s="19"/>
      <c r="DD158" s="19"/>
      <c r="DE158" s="19"/>
      <c r="DF158" s="19"/>
      <c r="DG158" s="19"/>
      <c r="DH158" s="19"/>
      <c r="DI158" s="19"/>
      <c r="DJ158" s="19"/>
      <c r="DK158" s="19"/>
      <c r="DL158" s="19"/>
      <c r="DM158" s="19"/>
      <c r="DN158" s="44"/>
      <c r="DO158" s="22"/>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45">
        <f>MEDIAN(AF158,AH158)</f>
        <v>512362.5</v>
      </c>
      <c r="ER158" s="45">
        <f>AVERAGE(AF158,AH158)</f>
        <v>512362.5</v>
      </c>
      <c r="ES158" s="45">
        <f>+STDEV(AF158,AH158)</f>
        <v>11147.538405405921</v>
      </c>
      <c r="ET158" s="46">
        <f t="shared" si="50"/>
        <v>2.1757131728816846E-2</v>
      </c>
      <c r="EU158" s="44">
        <f t="shared" si="59"/>
        <v>430557.1428571429</v>
      </c>
      <c r="EV158" s="44">
        <f t="shared" si="55"/>
        <v>81805.857142857145</v>
      </c>
      <c r="EW158" s="44">
        <f t="shared" si="60"/>
        <v>512363</v>
      </c>
      <c r="EX158" s="103">
        <f t="shared" si="51"/>
        <v>2049452</v>
      </c>
      <c r="EY158" s="26" t="s">
        <v>221</v>
      </c>
    </row>
    <row r="159" spans="1:155" ht="135.4" thickBot="1" x14ac:dyDescent="0.4">
      <c r="A159" s="27">
        <v>140</v>
      </c>
      <c r="B159" s="130" t="s">
        <v>88</v>
      </c>
      <c r="C159" s="143" t="s">
        <v>286</v>
      </c>
      <c r="D159" s="41" t="s">
        <v>375</v>
      </c>
      <c r="E159" s="41">
        <v>1</v>
      </c>
      <c r="F159" s="63"/>
      <c r="G159" s="125"/>
      <c r="H159" s="17"/>
      <c r="I159" s="18"/>
      <c r="J159" s="18"/>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c r="BA159" s="19"/>
      <c r="BB159" s="19"/>
      <c r="BC159" s="19"/>
      <c r="BD159" s="19"/>
      <c r="BE159" s="19"/>
      <c r="BF159" s="19"/>
      <c r="BG159" s="19"/>
      <c r="BH159" s="19"/>
      <c r="BI159" s="19"/>
      <c r="BJ159" s="19"/>
      <c r="BK159" s="19"/>
      <c r="BL159" s="19"/>
      <c r="BM159" s="19"/>
      <c r="BN159" s="19"/>
      <c r="BO159" s="19"/>
      <c r="BP159" s="19"/>
      <c r="BQ159" s="19"/>
      <c r="BR159" s="19"/>
      <c r="BS159" s="19"/>
      <c r="BT159" s="19"/>
      <c r="BU159" s="19"/>
      <c r="BV159" s="19"/>
      <c r="BW159" s="19"/>
      <c r="BX159" s="19"/>
      <c r="BY159" s="19"/>
      <c r="BZ159" s="19"/>
      <c r="CA159" s="19"/>
      <c r="CB159" s="19"/>
      <c r="CC159" s="19"/>
      <c r="CD159" s="19"/>
      <c r="CE159" s="19"/>
      <c r="CF159" s="19"/>
      <c r="CG159" s="19"/>
      <c r="CH159" s="19"/>
      <c r="CI159" s="19"/>
      <c r="CJ159" s="19"/>
      <c r="CK159" s="19"/>
      <c r="CL159" s="19"/>
      <c r="CM159" s="19"/>
      <c r="CN159" s="19"/>
      <c r="CO159" s="19"/>
      <c r="CP159" s="19"/>
      <c r="CQ159" s="19"/>
      <c r="CR159" s="19"/>
      <c r="CS159" s="19"/>
      <c r="CT159" s="19"/>
      <c r="CU159" s="19"/>
      <c r="CV159" s="19"/>
      <c r="CW159" s="19"/>
      <c r="CX159" s="19"/>
      <c r="CY159" s="19"/>
      <c r="CZ159" s="19"/>
      <c r="DA159" s="19"/>
      <c r="DB159" s="19"/>
      <c r="DC159" s="19"/>
      <c r="DD159" s="19"/>
      <c r="DE159" s="19"/>
      <c r="DF159" s="19"/>
      <c r="DG159" s="19"/>
      <c r="DH159" s="19"/>
      <c r="DI159" s="19"/>
      <c r="DJ159" s="19"/>
      <c r="DK159" s="19"/>
      <c r="DL159" s="19"/>
      <c r="DM159" s="19"/>
      <c r="DN159" s="44"/>
      <c r="DO159" s="52">
        <v>2142000</v>
      </c>
      <c r="DP159" s="52">
        <v>4403000</v>
      </c>
      <c r="DQ159" s="52"/>
      <c r="DR159" s="52"/>
      <c r="DS159" s="52"/>
      <c r="DT159" s="52"/>
      <c r="DU159" s="52"/>
      <c r="DV159" s="52"/>
      <c r="DW159" s="52"/>
      <c r="DX159" s="52"/>
      <c r="DY159" s="52"/>
      <c r="DZ159" s="52"/>
      <c r="EA159" s="52"/>
      <c r="EB159" s="52"/>
      <c r="EC159" s="52"/>
      <c r="ED159" s="52"/>
      <c r="EE159" s="52"/>
      <c r="EF159" s="52">
        <v>2700000</v>
      </c>
      <c r="EG159" s="52"/>
      <c r="EH159" s="52"/>
      <c r="EI159" s="52"/>
      <c r="EJ159" s="52"/>
      <c r="EK159" s="52"/>
      <c r="EL159" s="52"/>
      <c r="EM159" s="52"/>
      <c r="EN159" s="52"/>
      <c r="EO159" s="52"/>
      <c r="EP159" s="52"/>
      <c r="EQ159" s="45">
        <f>MEDIAN(DN159,DP159,EF159)</f>
        <v>3551500</v>
      </c>
      <c r="ER159" s="45">
        <f>AVERAGE(DN159,DP159,EF159)</f>
        <v>3551500</v>
      </c>
      <c r="ES159" s="45">
        <f>+STDEV(DN159,DP159,EF159)</f>
        <v>1204202.8483606905</v>
      </c>
      <c r="ET159" s="46">
        <f t="shared" si="50"/>
        <v>0.33906880145310164</v>
      </c>
      <c r="EU159" s="44">
        <f t="shared" si="59"/>
        <v>2984453.781512605</v>
      </c>
      <c r="EV159" s="44">
        <f t="shared" si="55"/>
        <v>567046.21848739497</v>
      </c>
      <c r="EW159" s="44">
        <f t="shared" si="60"/>
        <v>3551500</v>
      </c>
      <c r="EX159" s="103">
        <f t="shared" si="51"/>
        <v>3551500</v>
      </c>
      <c r="EY159" s="26" t="s">
        <v>220</v>
      </c>
    </row>
    <row r="160" spans="1:155" ht="40.9" thickBot="1" x14ac:dyDescent="0.4">
      <c r="A160" s="27">
        <v>141</v>
      </c>
      <c r="B160" s="130" t="s">
        <v>89</v>
      </c>
      <c r="C160" s="207" t="s">
        <v>269</v>
      </c>
      <c r="D160" s="41" t="s">
        <v>375</v>
      </c>
      <c r="E160" s="41">
        <v>1</v>
      </c>
      <c r="F160" s="63"/>
      <c r="G160" s="125"/>
      <c r="H160" s="17"/>
      <c r="I160" s="18"/>
      <c r="J160" s="18"/>
      <c r="K160" s="19"/>
      <c r="L160" s="19"/>
      <c r="M160" s="19"/>
      <c r="N160" s="19"/>
      <c r="O160" s="19"/>
      <c r="P160" s="19"/>
      <c r="Q160" s="19"/>
      <c r="R160" s="19"/>
      <c r="S160" s="19"/>
      <c r="T160" s="19"/>
      <c r="U160" s="19"/>
      <c r="V160" s="19"/>
      <c r="W160" s="19"/>
      <c r="X160" s="19"/>
      <c r="Y160" s="19"/>
      <c r="Z160" s="19"/>
      <c r="AA160" s="19"/>
      <c r="AB160" s="19"/>
      <c r="AC160" s="19"/>
      <c r="AD160" s="19"/>
      <c r="AE160" s="208"/>
      <c r="AF160" s="209"/>
      <c r="AG160" s="208"/>
      <c r="AH160" s="209"/>
      <c r="AI160" s="208"/>
      <c r="AJ160" s="209"/>
      <c r="AK160" s="19"/>
      <c r="AL160" s="19"/>
      <c r="AM160" s="19"/>
      <c r="AN160" s="19"/>
      <c r="AO160" s="19"/>
      <c r="AP160" s="19"/>
      <c r="AQ160" s="19"/>
      <c r="AR160" s="19"/>
      <c r="AS160" s="19"/>
      <c r="AT160" s="19"/>
      <c r="AU160" s="19"/>
      <c r="AV160" s="19"/>
      <c r="AW160" s="19"/>
      <c r="AX160" s="19"/>
      <c r="AY160" s="19"/>
      <c r="AZ160" s="19"/>
      <c r="BA160" s="19"/>
      <c r="BB160" s="19"/>
      <c r="BC160" s="19"/>
      <c r="BD160" s="19"/>
      <c r="BE160" s="19"/>
      <c r="BF160" s="19"/>
      <c r="BG160" s="19"/>
      <c r="BH160" s="19"/>
      <c r="BI160" s="19"/>
      <c r="BJ160" s="19"/>
      <c r="BK160" s="19"/>
      <c r="BL160" s="19"/>
      <c r="BM160" s="19"/>
      <c r="BN160" s="19"/>
      <c r="BO160" s="19"/>
      <c r="BP160" s="19"/>
      <c r="BQ160" s="19"/>
      <c r="BR160" s="19"/>
      <c r="BS160" s="19"/>
      <c r="BT160" s="19"/>
      <c r="BU160" s="19"/>
      <c r="BV160" s="19"/>
      <c r="BW160" s="19"/>
      <c r="BX160" s="19"/>
      <c r="BY160" s="19"/>
      <c r="BZ160" s="19"/>
      <c r="CA160" s="19"/>
      <c r="CB160" s="19"/>
      <c r="CC160" s="19"/>
      <c r="CD160" s="19"/>
      <c r="CE160" s="19"/>
      <c r="CF160" s="19"/>
      <c r="CG160" s="19"/>
      <c r="CH160" s="19"/>
      <c r="CI160" s="19"/>
      <c r="CJ160" s="19"/>
      <c r="CK160" s="19"/>
      <c r="CL160" s="19"/>
      <c r="CM160" s="19"/>
      <c r="CN160" s="19"/>
      <c r="CO160" s="19"/>
      <c r="CP160" s="19"/>
      <c r="CQ160" s="19"/>
      <c r="CR160" s="19"/>
      <c r="CS160" s="19"/>
      <c r="CT160" s="19"/>
      <c r="CU160" s="19"/>
      <c r="CV160" s="19"/>
      <c r="CW160" s="19"/>
      <c r="CX160" s="19"/>
      <c r="CY160" s="19"/>
      <c r="CZ160" s="19"/>
      <c r="DA160" s="19"/>
      <c r="DB160" s="19"/>
      <c r="DC160" s="19"/>
      <c r="DD160" s="19"/>
      <c r="DE160" s="19"/>
      <c r="DF160" s="19"/>
      <c r="DG160" s="19"/>
      <c r="DH160" s="19"/>
      <c r="DI160" s="19"/>
      <c r="DJ160" s="19"/>
      <c r="DK160" s="19"/>
      <c r="DL160" s="19"/>
      <c r="DM160" s="19"/>
      <c r="DO160" s="22">
        <v>1275000</v>
      </c>
      <c r="DP160" s="52">
        <v>1844500</v>
      </c>
      <c r="DQ160" s="52"/>
      <c r="DR160" s="52"/>
      <c r="DS160" s="52"/>
      <c r="DT160" s="52"/>
      <c r="DU160" s="52"/>
      <c r="DV160" s="52"/>
      <c r="DW160" s="52"/>
      <c r="DX160" s="52"/>
      <c r="DY160" s="52"/>
      <c r="DZ160" s="52"/>
      <c r="EA160" s="52"/>
      <c r="EB160" s="52"/>
      <c r="EC160" s="52"/>
      <c r="ED160" s="52"/>
      <c r="EE160" s="52"/>
      <c r="EF160" s="52"/>
      <c r="EG160" s="52"/>
      <c r="EH160" s="52"/>
      <c r="EI160" s="52"/>
      <c r="EJ160" s="52"/>
      <c r="EK160" s="52"/>
      <c r="EL160" s="52"/>
      <c r="EM160" s="52"/>
      <c r="EN160" s="52"/>
      <c r="EO160" s="52"/>
      <c r="EP160" s="52"/>
      <c r="EQ160" s="45">
        <f>MEDIAN(DO159,DP160)</f>
        <v>1993250</v>
      </c>
      <c r="ER160" s="45">
        <f>AVERAGE(DO159,DP160)</f>
        <v>1993250</v>
      </c>
      <c r="ES160" s="45">
        <f>+STDEV(DO159,DP160)</f>
        <v>210364.26740299788</v>
      </c>
      <c r="ET160" s="46">
        <f t="shared" si="50"/>
        <v>0.10553832555023097</v>
      </c>
      <c r="EU160" s="44">
        <f t="shared" si="59"/>
        <v>1675000</v>
      </c>
      <c r="EV160" s="44">
        <f t="shared" si="55"/>
        <v>318250</v>
      </c>
      <c r="EW160" s="44">
        <f t="shared" si="60"/>
        <v>1993250</v>
      </c>
      <c r="EX160" s="103">
        <f t="shared" si="51"/>
        <v>1993250</v>
      </c>
      <c r="EY160" s="26" t="s">
        <v>218</v>
      </c>
    </row>
    <row r="161" spans="1:155" ht="175.9" thickBot="1" x14ac:dyDescent="0.4">
      <c r="A161" s="27">
        <v>142</v>
      </c>
      <c r="B161" s="143" t="s">
        <v>94</v>
      </c>
      <c r="C161" s="143" t="s">
        <v>270</v>
      </c>
      <c r="D161" s="41" t="s">
        <v>375</v>
      </c>
      <c r="E161" s="41">
        <v>1</v>
      </c>
      <c r="F161" s="63"/>
      <c r="G161" s="125"/>
      <c r="H161" s="17"/>
      <c r="I161" s="18"/>
      <c r="J161" s="18"/>
      <c r="K161" s="19"/>
      <c r="L161" s="19"/>
      <c r="M161" s="19"/>
      <c r="N161" s="19"/>
      <c r="O161" s="19"/>
      <c r="P161" s="19"/>
      <c r="Q161" s="19"/>
      <c r="R161" s="19"/>
      <c r="S161" s="19"/>
      <c r="T161" s="19"/>
      <c r="U161" s="19"/>
      <c r="V161" s="19"/>
      <c r="W161" s="48">
        <v>599000</v>
      </c>
      <c r="X161" s="48">
        <v>629549</v>
      </c>
      <c r="Y161" s="48">
        <v>599000</v>
      </c>
      <c r="Z161" s="48">
        <v>629549</v>
      </c>
      <c r="AA161" s="48">
        <v>550000</v>
      </c>
      <c r="AB161" s="48">
        <v>578050</v>
      </c>
      <c r="AC161" s="19"/>
      <c r="AD161" s="19"/>
      <c r="AE161" s="48">
        <v>900000</v>
      </c>
      <c r="AF161" s="48">
        <v>945900</v>
      </c>
      <c r="AG161" s="48">
        <v>890000</v>
      </c>
      <c r="AH161" s="48">
        <v>935390</v>
      </c>
      <c r="AI161" s="19"/>
      <c r="AJ161" s="19"/>
      <c r="AK161" s="19"/>
      <c r="AL161" s="19"/>
      <c r="AM161" s="19"/>
      <c r="AN161" s="19"/>
      <c r="AO161" s="19"/>
      <c r="AP161" s="19"/>
      <c r="AQ161" s="19"/>
      <c r="AR161" s="19"/>
      <c r="AS161" s="19"/>
      <c r="AT161" s="19"/>
      <c r="AU161" s="19"/>
      <c r="AV161" s="19"/>
      <c r="AW161" s="19"/>
      <c r="AX161" s="19"/>
      <c r="AY161" s="19"/>
      <c r="AZ161" s="19"/>
      <c r="BA161" s="19"/>
      <c r="BB161" s="19"/>
      <c r="BC161" s="19"/>
      <c r="BD161" s="19"/>
      <c r="BE161" s="19"/>
      <c r="BF161" s="19"/>
      <c r="BG161" s="19"/>
      <c r="BH161" s="19"/>
      <c r="BI161" s="19"/>
      <c r="BJ161" s="19"/>
      <c r="BK161" s="19"/>
      <c r="BL161" s="19"/>
      <c r="BM161" s="19"/>
      <c r="BN161" s="19"/>
      <c r="BO161" s="19"/>
      <c r="BP161" s="19"/>
      <c r="BQ161" s="19"/>
      <c r="BR161" s="19"/>
      <c r="BS161" s="19"/>
      <c r="BT161" s="19"/>
      <c r="BU161" s="19"/>
      <c r="BV161" s="19"/>
      <c r="BW161" s="19"/>
      <c r="BX161" s="19"/>
      <c r="BY161" s="19"/>
      <c r="BZ161" s="19"/>
      <c r="CA161" s="19"/>
      <c r="CB161" s="19"/>
      <c r="CC161" s="19"/>
      <c r="CD161" s="19"/>
      <c r="CE161" s="19"/>
      <c r="CF161" s="19"/>
      <c r="CG161" s="19"/>
      <c r="CH161" s="19"/>
      <c r="CI161" s="19"/>
      <c r="CJ161" s="19"/>
      <c r="CK161" s="19"/>
      <c r="CL161" s="19"/>
      <c r="CM161" s="19"/>
      <c r="CN161" s="19"/>
      <c r="CO161" s="19"/>
      <c r="CP161" s="19"/>
      <c r="CQ161" s="19"/>
      <c r="CR161" s="19"/>
      <c r="CS161" s="19"/>
      <c r="CT161" s="19"/>
      <c r="CU161" s="19"/>
      <c r="CV161" s="19"/>
      <c r="CW161" s="19"/>
      <c r="CX161" s="19"/>
      <c r="CY161" s="19"/>
      <c r="CZ161" s="19"/>
      <c r="DA161" s="19"/>
      <c r="DB161" s="19"/>
      <c r="DC161" s="19"/>
      <c r="DD161" s="19"/>
      <c r="DE161" s="19"/>
      <c r="DF161" s="19"/>
      <c r="DG161" s="19"/>
      <c r="DH161" s="19"/>
      <c r="DI161" s="19"/>
      <c r="DJ161" s="19"/>
      <c r="DK161" s="19"/>
      <c r="DL161" s="19"/>
      <c r="DM161" s="19"/>
      <c r="DN161" s="44"/>
      <c r="DO161" s="22"/>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45">
        <f>MEDIAN(X161,Z161,AB161,AF161,AH161)</f>
        <v>629549</v>
      </c>
      <c r="ER161" s="45">
        <f>AVERAGE(X161,Z161,AB161,AF161,AH161)</f>
        <v>743687.6</v>
      </c>
      <c r="ES161" s="45">
        <f>+STDEV(X161,Z161,AB161,AF161,AH161)</f>
        <v>181059.87920657644</v>
      </c>
      <c r="ET161" s="46">
        <f t="shared" ref="ET161" si="61">ES161/ER161</f>
        <v>0.2434622806761555</v>
      </c>
      <c r="EU161" s="44">
        <f t="shared" si="59"/>
        <v>529032.77310924372</v>
      </c>
      <c r="EV161" s="44">
        <f t="shared" si="55"/>
        <v>100516.22689075631</v>
      </c>
      <c r="EW161" s="44">
        <f t="shared" si="60"/>
        <v>629549</v>
      </c>
      <c r="EX161" s="103">
        <f t="shared" si="51"/>
        <v>629549</v>
      </c>
      <c r="EY161" s="26" t="s">
        <v>220</v>
      </c>
    </row>
    <row r="162" spans="1:155" ht="149.25" thickBot="1" x14ac:dyDescent="0.4">
      <c r="A162" s="27">
        <f t="shared" si="53"/>
        <v>143</v>
      </c>
      <c r="B162" s="130" t="s">
        <v>253</v>
      </c>
      <c r="C162" s="147" t="s">
        <v>271</v>
      </c>
      <c r="D162" s="41" t="s">
        <v>24</v>
      </c>
      <c r="E162" s="41">
        <v>1</v>
      </c>
      <c r="F162" s="63"/>
      <c r="G162" s="125"/>
      <c r="H162" s="17"/>
      <c r="I162" s="18"/>
      <c r="J162" s="18"/>
      <c r="K162" s="19"/>
      <c r="L162" s="19"/>
      <c r="M162" s="19"/>
      <c r="N162" s="19"/>
      <c r="O162" s="19"/>
      <c r="P162" s="19"/>
      <c r="Q162" s="120">
        <v>515000</v>
      </c>
      <c r="R162" s="121">
        <v>541265</v>
      </c>
      <c r="S162" s="120">
        <v>515000</v>
      </c>
      <c r="T162" s="121">
        <v>541265</v>
      </c>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c r="BA162" s="19"/>
      <c r="BB162" s="19"/>
      <c r="BC162" s="19"/>
      <c r="BD162" s="19"/>
      <c r="BE162" s="19"/>
      <c r="BF162" s="19"/>
      <c r="BG162" s="19"/>
      <c r="BH162" s="19"/>
      <c r="BI162" s="19"/>
      <c r="BJ162" s="19"/>
      <c r="BK162" s="19"/>
      <c r="BL162" s="19"/>
      <c r="BM162" s="19"/>
      <c r="BN162" s="19"/>
      <c r="BO162" s="19"/>
      <c r="BP162" s="19"/>
      <c r="BQ162" s="19"/>
      <c r="BR162" s="19"/>
      <c r="BS162" s="120">
        <v>500000</v>
      </c>
      <c r="BT162" s="121">
        <v>525500</v>
      </c>
      <c r="BU162" s="19"/>
      <c r="BV162" s="19"/>
      <c r="BW162" s="19"/>
      <c r="BX162" s="19"/>
      <c r="BY162" s="19"/>
      <c r="BZ162" s="19"/>
      <c r="CA162" s="19"/>
      <c r="CB162" s="19"/>
      <c r="CC162" s="19"/>
      <c r="CD162" s="19"/>
      <c r="CE162" s="19"/>
      <c r="CF162" s="19"/>
      <c r="CG162" s="19"/>
      <c r="CH162" s="19"/>
      <c r="CI162" s="19"/>
      <c r="CJ162" s="19"/>
      <c r="CK162" s="19"/>
      <c r="CL162" s="19"/>
      <c r="CM162" s="19"/>
      <c r="CN162" s="19"/>
      <c r="CO162" s="19"/>
      <c r="CP162" s="19"/>
      <c r="CQ162" s="19"/>
      <c r="CR162" s="19"/>
      <c r="CS162" s="19"/>
      <c r="CT162" s="19"/>
      <c r="CU162" s="19"/>
      <c r="CV162" s="19"/>
      <c r="CW162" s="19"/>
      <c r="CX162" s="19"/>
      <c r="CY162" s="19"/>
      <c r="CZ162" s="19"/>
      <c r="DA162" s="19"/>
      <c r="DB162" s="19"/>
      <c r="DC162" s="19"/>
      <c r="DD162" s="19"/>
      <c r="DE162" s="19"/>
      <c r="DF162" s="19"/>
      <c r="DG162" s="19"/>
      <c r="DH162" s="19"/>
      <c r="DI162" s="19"/>
      <c r="DJ162" s="19"/>
      <c r="DK162" s="19"/>
      <c r="DL162" s="19"/>
      <c r="DM162" s="19"/>
      <c r="DN162" s="44"/>
      <c r="DO162" s="22"/>
      <c r="DP162" s="52"/>
      <c r="DQ162" s="52"/>
      <c r="DR162" s="52"/>
      <c r="DS162" s="52"/>
      <c r="DT162" s="52"/>
      <c r="DU162" s="52"/>
      <c r="DV162" s="52"/>
      <c r="DW162" s="52"/>
      <c r="DX162" s="52"/>
      <c r="DY162" s="52"/>
      <c r="DZ162" s="52"/>
      <c r="EA162" s="52"/>
      <c r="EB162" s="52"/>
      <c r="EC162" s="52"/>
      <c r="ED162" s="52"/>
      <c r="EE162" s="52"/>
      <c r="EF162" s="52"/>
      <c r="EG162" s="52"/>
      <c r="EH162" s="52"/>
      <c r="EI162" s="52"/>
      <c r="EJ162" s="52"/>
      <c r="EK162" s="52"/>
      <c r="EL162" s="52"/>
      <c r="EM162" s="52"/>
      <c r="EN162" s="52"/>
      <c r="EO162" s="52"/>
      <c r="EP162" s="52"/>
      <c r="EQ162" s="45">
        <f>MEDIAN(R162,T162,BT162)</f>
        <v>541265</v>
      </c>
      <c r="ER162" s="45">
        <f>AVERAGE(R162,T162,BT162)</f>
        <v>536010</v>
      </c>
      <c r="ES162" s="45">
        <f>+STDEV(R162,T162,BT162)</f>
        <v>9101.9269937744502</v>
      </c>
      <c r="ET162" s="46">
        <f t="shared" si="50"/>
        <v>1.698089027028311E-2</v>
      </c>
      <c r="EU162" s="44">
        <f t="shared" si="59"/>
        <v>450428.57142857142</v>
      </c>
      <c r="EV162" s="44">
        <f t="shared" si="55"/>
        <v>85581.428571428565</v>
      </c>
      <c r="EW162" s="44">
        <f t="shared" si="60"/>
        <v>536010</v>
      </c>
      <c r="EX162" s="103">
        <f t="shared" si="51"/>
        <v>536010</v>
      </c>
      <c r="EY162" s="26" t="s">
        <v>218</v>
      </c>
    </row>
    <row r="163" spans="1:155" ht="54" x14ac:dyDescent="0.35">
      <c r="A163" s="27">
        <v>143</v>
      </c>
      <c r="B163" s="221" t="s">
        <v>53</v>
      </c>
      <c r="C163" s="143" t="s">
        <v>15</v>
      </c>
      <c r="D163" s="113" t="s">
        <v>17</v>
      </c>
      <c r="E163" s="41">
        <v>100</v>
      </c>
      <c r="F163" s="63"/>
      <c r="G163" s="125"/>
      <c r="H163" s="17"/>
      <c r="I163" s="18"/>
      <c r="J163" s="18"/>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19"/>
      <c r="BU163" s="19"/>
      <c r="BV163" s="19"/>
      <c r="BW163" s="19"/>
      <c r="BX163" s="19"/>
      <c r="BY163" s="19"/>
      <c r="BZ163" s="19"/>
      <c r="CA163" s="19"/>
      <c r="CB163" s="19"/>
      <c r="CC163" s="19"/>
      <c r="CD163" s="19"/>
      <c r="CE163" s="19"/>
      <c r="CF163" s="19"/>
      <c r="CG163" s="19"/>
      <c r="CH163" s="19"/>
      <c r="CI163" s="19"/>
      <c r="CJ163" s="19"/>
      <c r="CK163" s="19"/>
      <c r="CL163" s="19"/>
      <c r="CM163" s="19"/>
      <c r="CN163" s="19"/>
      <c r="CO163" s="19"/>
      <c r="CP163" s="19"/>
      <c r="CQ163" s="19"/>
      <c r="CR163" s="19"/>
      <c r="CS163" s="19"/>
      <c r="CT163" s="19"/>
      <c r="CU163" s="19"/>
      <c r="CV163" s="19"/>
      <c r="CW163" s="19"/>
      <c r="CX163" s="19"/>
      <c r="CY163" s="19"/>
      <c r="CZ163" s="19"/>
      <c r="DA163" s="19"/>
      <c r="DB163" s="19"/>
      <c r="DC163" s="19"/>
      <c r="DD163" s="19"/>
      <c r="DE163" s="19"/>
      <c r="DF163" s="19"/>
      <c r="DG163" s="19"/>
      <c r="DH163" s="19"/>
      <c r="DI163" s="19"/>
      <c r="DJ163" s="19"/>
      <c r="DK163" s="19"/>
      <c r="DL163" s="19"/>
      <c r="DM163" s="19"/>
      <c r="DN163" s="44">
        <v>9520</v>
      </c>
      <c r="DO163" s="22"/>
      <c r="DP163" s="52">
        <v>11900</v>
      </c>
      <c r="DQ163" s="52"/>
      <c r="DR163" s="52"/>
      <c r="DS163" s="52"/>
      <c r="DT163" s="52"/>
      <c r="DU163" s="52"/>
      <c r="DV163" s="52"/>
      <c r="DW163" s="52"/>
      <c r="DX163" s="52"/>
      <c r="DY163" s="52"/>
      <c r="DZ163" s="52"/>
      <c r="EA163" s="52"/>
      <c r="EB163" s="52"/>
      <c r="EC163" s="52"/>
      <c r="ED163" s="52"/>
      <c r="EE163" s="52"/>
      <c r="EF163" s="52"/>
      <c r="EG163" s="52"/>
      <c r="EH163" s="52"/>
      <c r="EI163" s="52"/>
      <c r="EJ163" s="52"/>
      <c r="EK163" s="52"/>
      <c r="EL163" s="52"/>
      <c r="EM163" s="52"/>
      <c r="EN163" s="52"/>
      <c r="EO163" s="52"/>
      <c r="EP163" s="52"/>
      <c r="EQ163" s="45">
        <f>MEDIAN(DN163,DP163)</f>
        <v>10710</v>
      </c>
      <c r="ER163" s="45">
        <f>AVERAGE(DN163,DP163)</f>
        <v>10710</v>
      </c>
      <c r="ES163" s="45">
        <f>+STDEV(DN163,DP163)</f>
        <v>1682.9141392239831</v>
      </c>
      <c r="ET163" s="46">
        <f t="shared" si="50"/>
        <v>0.15713484026367722</v>
      </c>
      <c r="EU163" s="44">
        <f t="shared" si="59"/>
        <v>9000</v>
      </c>
      <c r="EV163" s="44">
        <f t="shared" si="55"/>
        <v>1710</v>
      </c>
      <c r="EW163" s="44">
        <f t="shared" si="60"/>
        <v>10710</v>
      </c>
      <c r="EX163" s="103">
        <f t="shared" si="51"/>
        <v>1071000</v>
      </c>
      <c r="EY163" s="26" t="s">
        <v>219</v>
      </c>
    </row>
    <row r="164" spans="1:155" ht="190.5" x14ac:dyDescent="0.35">
      <c r="A164" s="27">
        <v>144</v>
      </c>
      <c r="B164" s="143" t="s">
        <v>188</v>
      </c>
      <c r="C164" s="143" t="s">
        <v>272</v>
      </c>
      <c r="D164" s="26" t="s">
        <v>17</v>
      </c>
      <c r="E164" s="26">
        <v>100</v>
      </c>
      <c r="F164" s="63"/>
      <c r="G164" s="125"/>
      <c r="H164" s="17"/>
      <c r="I164" s="18"/>
      <c r="J164" s="18"/>
      <c r="K164" s="19"/>
      <c r="L164" s="19"/>
      <c r="M164" s="19"/>
      <c r="N164" s="19"/>
      <c r="O164" s="19"/>
      <c r="P164" s="19"/>
      <c r="Q164" s="48">
        <v>59500</v>
      </c>
      <c r="R164" s="16">
        <f>+(Q164*5.1%)+Q164</f>
        <v>62534.5</v>
      </c>
      <c r="S164" s="48">
        <v>71400</v>
      </c>
      <c r="T164" s="16">
        <f>+(S164*5.1%)+S164</f>
        <v>75041.399999999994</v>
      </c>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c r="BA164" s="19"/>
      <c r="BB164" s="19"/>
      <c r="BC164" s="19"/>
      <c r="BD164" s="19"/>
      <c r="BE164" s="19"/>
      <c r="BF164" s="19"/>
      <c r="BG164" s="19"/>
      <c r="BH164" s="19"/>
      <c r="BI164" s="19"/>
      <c r="BJ164" s="19"/>
      <c r="BK164" s="19"/>
      <c r="BL164" s="19"/>
      <c r="BM164" s="19"/>
      <c r="BN164" s="19"/>
      <c r="BO164" s="19"/>
      <c r="BP164" s="19"/>
      <c r="BQ164" s="19"/>
      <c r="BR164" s="19"/>
      <c r="BS164" s="19"/>
      <c r="BT164" s="19"/>
      <c r="BU164" s="19"/>
      <c r="BV164" s="19"/>
      <c r="BW164" s="19"/>
      <c r="BX164" s="19"/>
      <c r="BY164" s="19"/>
      <c r="BZ164" s="19"/>
      <c r="CA164" s="19"/>
      <c r="CB164" s="19"/>
      <c r="CC164" s="19"/>
      <c r="CD164" s="19"/>
      <c r="CE164" s="19"/>
      <c r="CF164" s="19"/>
      <c r="CG164" s="19"/>
      <c r="CH164" s="19"/>
      <c r="CI164" s="19"/>
      <c r="CJ164" s="19"/>
      <c r="CK164" s="19"/>
      <c r="CL164" s="49">
        <v>61880</v>
      </c>
      <c r="CM164" s="49">
        <f>+(CL164*5.1%)+CL164</f>
        <v>65035.88</v>
      </c>
      <c r="CN164" s="49"/>
      <c r="CO164" s="49"/>
      <c r="CP164" s="49"/>
      <c r="CQ164" s="49"/>
      <c r="CR164" s="49"/>
      <c r="CS164" s="49"/>
      <c r="CT164" s="49"/>
      <c r="CU164" s="49"/>
      <c r="CV164" s="49"/>
      <c r="CW164" s="49"/>
      <c r="CX164" s="49"/>
      <c r="CY164" s="49"/>
      <c r="CZ164" s="49"/>
      <c r="DA164" s="49"/>
      <c r="DB164" s="49"/>
      <c r="DC164" s="49"/>
      <c r="DD164" s="49"/>
      <c r="DE164" s="49"/>
      <c r="DF164" s="49"/>
      <c r="DG164" s="49"/>
      <c r="DH164" s="49"/>
      <c r="DI164" s="49"/>
      <c r="DJ164" s="49"/>
      <c r="DK164" s="49"/>
      <c r="DL164" s="49"/>
      <c r="DM164" s="49"/>
      <c r="DN164" s="44"/>
      <c r="DO164" s="22"/>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45">
        <f>MEDIAN(R164,T164,CM164)</f>
        <v>65035.88</v>
      </c>
      <c r="ER164" s="45">
        <f>AVERAGE(R164,T164,CM164)</f>
        <v>67537.259999999995</v>
      </c>
      <c r="ES164" s="45">
        <f>+STDEV(R164,T164,CM164)</f>
        <v>6618.0294144707432</v>
      </c>
      <c r="ET164" s="46">
        <f t="shared" si="50"/>
        <v>9.7990789298688513E-2</v>
      </c>
      <c r="EU164" s="44">
        <f t="shared" si="59"/>
        <v>56754.621848739502</v>
      </c>
      <c r="EV164" s="44">
        <f t="shared" si="55"/>
        <v>10783.378151260506</v>
      </c>
      <c r="EW164" s="44">
        <f t="shared" si="60"/>
        <v>67538</v>
      </c>
      <c r="EX164" s="103">
        <f t="shared" si="51"/>
        <v>6753800</v>
      </c>
      <c r="EY164" s="26" t="s">
        <v>109</v>
      </c>
    </row>
    <row r="165" spans="1:155" ht="216.75" x14ac:dyDescent="0.35">
      <c r="A165" s="27">
        <v>145</v>
      </c>
      <c r="B165" s="143" t="s">
        <v>90</v>
      </c>
      <c r="C165" s="143" t="s">
        <v>273</v>
      </c>
      <c r="D165" s="26" t="s">
        <v>17</v>
      </c>
      <c r="E165" s="26">
        <v>100</v>
      </c>
      <c r="F165" s="63"/>
      <c r="G165" s="125"/>
      <c r="H165" s="17"/>
      <c r="I165" s="18"/>
      <c r="J165" s="18"/>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19"/>
      <c r="BU165" s="19"/>
      <c r="BV165" s="19"/>
      <c r="BW165" s="19"/>
      <c r="BX165" s="19"/>
      <c r="BY165" s="19"/>
      <c r="BZ165" s="19"/>
      <c r="CA165" s="19"/>
      <c r="CB165" s="19"/>
      <c r="CC165" s="19"/>
      <c r="CD165" s="19"/>
      <c r="CE165" s="19"/>
      <c r="CF165" s="19"/>
      <c r="CG165" s="19"/>
      <c r="CH165" s="19"/>
      <c r="CI165" s="19"/>
      <c r="CJ165" s="19"/>
      <c r="CK165" s="19"/>
      <c r="CL165" s="19"/>
      <c r="CM165" s="19"/>
      <c r="CN165" s="19"/>
      <c r="CO165" s="19"/>
      <c r="CP165" s="19"/>
      <c r="CQ165" s="19"/>
      <c r="CR165" s="48">
        <v>4171</v>
      </c>
      <c r="CS165" s="48">
        <v>4384</v>
      </c>
      <c r="CT165" s="48">
        <v>5500</v>
      </c>
      <c r="CU165" s="48">
        <v>5781</v>
      </c>
      <c r="CV165" s="48">
        <v>4300</v>
      </c>
      <c r="CW165" s="48">
        <v>4519</v>
      </c>
      <c r="CX165" s="48"/>
      <c r="CY165" s="48"/>
      <c r="CZ165" s="48"/>
      <c r="DA165" s="48"/>
      <c r="DB165" s="48"/>
      <c r="DC165" s="48"/>
      <c r="DD165" s="48"/>
      <c r="DE165" s="48"/>
      <c r="DF165" s="48"/>
      <c r="DG165" s="48"/>
      <c r="DH165" s="48"/>
      <c r="DI165" s="48"/>
      <c r="DJ165" s="48"/>
      <c r="DK165" s="48"/>
      <c r="DL165" s="48"/>
      <c r="DM165" s="48"/>
      <c r="DN165" s="44"/>
      <c r="DO165" s="22"/>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45">
        <f>MEDIAN(CS165,CU165,CW165)</f>
        <v>4519</v>
      </c>
      <c r="ER165" s="45">
        <f>AVERAGE(CS165,CU165,CW165)</f>
        <v>4894.666666666667</v>
      </c>
      <c r="ES165" s="45">
        <f>+STDEV(CS165,CU165,CW165)</f>
        <v>770.54937111994047</v>
      </c>
      <c r="ET165" s="46">
        <f t="shared" si="50"/>
        <v>0.15742632207571652</v>
      </c>
      <c r="EU165" s="44">
        <f t="shared" si="59"/>
        <v>3797.4789915966389</v>
      </c>
      <c r="EV165" s="44">
        <f t="shared" si="55"/>
        <v>721.52100840336141</v>
      </c>
      <c r="EW165" s="44">
        <f t="shared" si="60"/>
        <v>4519</v>
      </c>
      <c r="EX165" s="103">
        <f t="shared" si="51"/>
        <v>451900</v>
      </c>
      <c r="EY165" s="26" t="s">
        <v>220</v>
      </c>
    </row>
    <row r="166" spans="1:155" ht="202.5" x14ac:dyDescent="0.35">
      <c r="A166" s="27">
        <f t="shared" si="53"/>
        <v>146</v>
      </c>
      <c r="B166" s="143" t="s">
        <v>91</v>
      </c>
      <c r="C166" s="143" t="s">
        <v>274</v>
      </c>
      <c r="D166" s="26" t="s">
        <v>39</v>
      </c>
      <c r="E166" s="26">
        <v>100</v>
      </c>
      <c r="F166" s="63"/>
      <c r="G166" s="125"/>
      <c r="H166" s="17"/>
      <c r="I166" s="18"/>
      <c r="J166" s="18"/>
      <c r="K166" s="19"/>
      <c r="L166" s="19"/>
      <c r="M166" s="19"/>
      <c r="N166" s="19"/>
      <c r="O166" s="19"/>
      <c r="P166" s="19"/>
      <c r="Q166" s="19"/>
      <c r="R166" s="19"/>
      <c r="S166" s="19"/>
      <c r="T166" s="19"/>
      <c r="U166" s="19"/>
      <c r="V166" s="19"/>
      <c r="W166" s="19"/>
      <c r="X166" s="19"/>
      <c r="Y166" s="19"/>
      <c r="Z166" s="19"/>
      <c r="AA166" s="19"/>
      <c r="AB166" s="19"/>
      <c r="AC166" s="19"/>
      <c r="AD166" s="19"/>
      <c r="AE166" s="48">
        <v>200000</v>
      </c>
      <c r="AF166" s="48">
        <v>210200</v>
      </c>
      <c r="AG166" s="48">
        <v>270000</v>
      </c>
      <c r="AH166" s="48">
        <v>283770</v>
      </c>
      <c r="AI166" s="19"/>
      <c r="AJ166" s="19"/>
      <c r="AK166" s="19"/>
      <c r="AL166" s="19"/>
      <c r="AM166" s="19"/>
      <c r="AN166" s="19"/>
      <c r="AO166" s="19"/>
      <c r="AP166" s="19"/>
      <c r="AQ166" s="19"/>
      <c r="AR166" s="19"/>
      <c r="AS166" s="19"/>
      <c r="AT166" s="19"/>
      <c r="AU166" s="19"/>
      <c r="AV166" s="19"/>
      <c r="AW166" s="19"/>
      <c r="AX166" s="19"/>
      <c r="AY166" s="19"/>
      <c r="AZ166" s="19"/>
      <c r="BA166" s="19"/>
      <c r="BB166" s="19"/>
      <c r="BC166" s="19"/>
      <c r="BD166" s="19"/>
      <c r="BE166" s="19"/>
      <c r="BF166" s="19"/>
      <c r="BG166" s="19"/>
      <c r="BH166" s="19"/>
      <c r="BI166" s="19"/>
      <c r="BJ166" s="19"/>
      <c r="BK166" s="19"/>
      <c r="BL166" s="19"/>
      <c r="BM166" s="19"/>
      <c r="BN166" s="19"/>
      <c r="BO166" s="19"/>
      <c r="BP166" s="19"/>
      <c r="BQ166" s="19"/>
      <c r="BR166" s="19"/>
      <c r="BS166" s="19"/>
      <c r="BT166" s="19"/>
      <c r="BU166" s="19"/>
      <c r="BV166" s="19"/>
      <c r="BW166" s="19"/>
      <c r="BX166" s="19"/>
      <c r="BY166" s="19"/>
      <c r="BZ166" s="19"/>
      <c r="CA166" s="19"/>
      <c r="CB166" s="19"/>
      <c r="CC166" s="19"/>
      <c r="CD166" s="19"/>
      <c r="CE166" s="19"/>
      <c r="CF166" s="19"/>
      <c r="CG166" s="19"/>
      <c r="CH166" s="19"/>
      <c r="CI166" s="19"/>
      <c r="CJ166" s="19"/>
      <c r="CK166" s="19"/>
      <c r="CL166" s="19"/>
      <c r="CM166" s="19"/>
      <c r="CN166" s="49">
        <v>275000</v>
      </c>
      <c r="CO166" s="19"/>
      <c r="CP166" s="19"/>
      <c r="CQ166" s="19"/>
      <c r="CR166" s="19"/>
      <c r="CS166" s="19"/>
      <c r="CT166" s="19"/>
      <c r="CU166" s="19"/>
      <c r="CV166" s="19"/>
      <c r="CW166" s="19"/>
      <c r="CX166" s="19"/>
      <c r="CY166" s="19"/>
      <c r="CZ166" s="19"/>
      <c r="DA166" s="19"/>
      <c r="DB166" s="19"/>
      <c r="DC166" s="19"/>
      <c r="DD166" s="19"/>
      <c r="DE166" s="19"/>
      <c r="DF166" s="19"/>
      <c r="DG166" s="19"/>
      <c r="DH166" s="19"/>
      <c r="DI166" s="19"/>
      <c r="DJ166" s="19"/>
      <c r="DK166" s="19"/>
      <c r="DL166" s="19"/>
      <c r="DM166" s="19"/>
      <c r="DN166" s="44"/>
      <c r="DO166" s="22"/>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45">
        <f>MEDIAN(AF166,AH166,CN166)</f>
        <v>275000</v>
      </c>
      <c r="ER166" s="45">
        <f>AVERAGE(AF166,AH166,CN166)</f>
        <v>256323.33333333334</v>
      </c>
      <c r="ES166" s="45">
        <f>+STDEV(AF166,AH166,CN166)</f>
        <v>40183.947458323804</v>
      </c>
      <c r="ET166" s="46">
        <f t="shared" si="50"/>
        <v>0.15677054030062473</v>
      </c>
      <c r="EU166" s="44">
        <f t="shared" si="59"/>
        <v>231092.43697478992</v>
      </c>
      <c r="EV166" s="44">
        <f t="shared" si="55"/>
        <v>43907.563025210082</v>
      </c>
      <c r="EW166" s="44">
        <f t="shared" si="60"/>
        <v>275000</v>
      </c>
      <c r="EX166" s="103">
        <f t="shared" si="51"/>
        <v>27500000</v>
      </c>
      <c r="EY166" s="26" t="s">
        <v>220</v>
      </c>
    </row>
    <row r="167" spans="1:155" ht="40.5" x14ac:dyDescent="0.35">
      <c r="A167" s="27">
        <v>146</v>
      </c>
      <c r="B167" s="145" t="s">
        <v>44</v>
      </c>
      <c r="C167" s="64" t="s">
        <v>241</v>
      </c>
      <c r="D167" s="41" t="s">
        <v>17</v>
      </c>
      <c r="E167" s="26">
        <v>100</v>
      </c>
      <c r="F167" s="63"/>
      <c r="G167" s="125"/>
      <c r="H167" s="17"/>
      <c r="I167" s="18"/>
      <c r="J167" s="18"/>
      <c r="K167" s="19"/>
      <c r="L167" s="19"/>
      <c r="M167" s="19"/>
      <c r="N167" s="19"/>
      <c r="O167" s="19"/>
      <c r="P167" s="19"/>
      <c r="Q167" s="19"/>
      <c r="R167" s="19"/>
      <c r="S167" s="19"/>
      <c r="T167" s="19"/>
      <c r="U167" s="48">
        <v>3000</v>
      </c>
      <c r="V167" s="48">
        <v>3153</v>
      </c>
      <c r="W167" s="48">
        <v>2000</v>
      </c>
      <c r="X167" s="48">
        <v>2102</v>
      </c>
      <c r="Y167" s="48">
        <v>2000</v>
      </c>
      <c r="Z167" s="48">
        <v>2102</v>
      </c>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19"/>
      <c r="BU167" s="19"/>
      <c r="BV167" s="19"/>
      <c r="BW167" s="19"/>
      <c r="BX167" s="19"/>
      <c r="BY167" s="19"/>
      <c r="BZ167" s="19"/>
      <c r="CA167" s="19"/>
      <c r="CB167" s="19"/>
      <c r="CC167" s="19"/>
      <c r="CD167" s="19"/>
      <c r="CE167" s="19"/>
      <c r="CF167" s="19"/>
      <c r="CG167" s="19"/>
      <c r="CH167" s="19"/>
      <c r="CI167" s="19"/>
      <c r="CJ167" s="19"/>
      <c r="CK167" s="19"/>
      <c r="CL167" s="19"/>
      <c r="CM167" s="19"/>
      <c r="CN167" s="19"/>
      <c r="CO167" s="19"/>
      <c r="CP167" s="19"/>
      <c r="CQ167" s="19"/>
      <c r="CR167" s="19"/>
      <c r="CS167" s="19"/>
      <c r="CT167" s="19"/>
      <c r="CU167" s="19"/>
      <c r="CV167" s="19"/>
      <c r="CW167" s="19"/>
      <c r="CX167" s="19"/>
      <c r="CY167" s="19"/>
      <c r="CZ167" s="19"/>
      <c r="DA167" s="19"/>
      <c r="DB167" s="19"/>
      <c r="DC167" s="19"/>
      <c r="DD167" s="19"/>
      <c r="DE167" s="19"/>
      <c r="DF167" s="19"/>
      <c r="DG167" s="19"/>
      <c r="DH167" s="19"/>
      <c r="DI167" s="19"/>
      <c r="DJ167" s="19"/>
      <c r="DK167" s="19"/>
      <c r="DL167" s="19"/>
      <c r="DM167" s="19"/>
      <c r="DN167" s="44"/>
      <c r="DO167" s="22"/>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45">
        <v>2102</v>
      </c>
      <c r="ER167" s="45">
        <v>2452.3333333333335</v>
      </c>
      <c r="ES167" s="45">
        <v>606.79513291829721</v>
      </c>
      <c r="ET167" s="46">
        <v>0.24743582965269695</v>
      </c>
      <c r="EU167" s="44">
        <v>2102</v>
      </c>
      <c r="EV167" s="44">
        <v>0</v>
      </c>
      <c r="EW167" s="44">
        <v>2102</v>
      </c>
      <c r="EX167" s="103">
        <f t="shared" si="51"/>
        <v>210200</v>
      </c>
      <c r="EY167" s="26" t="s">
        <v>220</v>
      </c>
    </row>
    <row r="168" spans="1:155" ht="121.9" x14ac:dyDescent="0.35">
      <c r="A168" s="27">
        <v>147</v>
      </c>
      <c r="B168" s="143" t="s">
        <v>278</v>
      </c>
      <c r="C168" s="143" t="s">
        <v>275</v>
      </c>
      <c r="D168" s="26" t="s">
        <v>17</v>
      </c>
      <c r="E168" s="26">
        <v>6</v>
      </c>
      <c r="F168" s="63"/>
      <c r="G168" s="125"/>
      <c r="H168" s="17"/>
      <c r="I168" s="18"/>
      <c r="J168" s="18"/>
      <c r="K168" s="19"/>
      <c r="L168" s="19"/>
      <c r="M168" s="19"/>
      <c r="N168" s="19"/>
      <c r="O168" s="19"/>
      <c r="P168" s="19"/>
      <c r="Q168" s="19"/>
      <c r="R168" s="19"/>
      <c r="S168" s="19"/>
      <c r="T168" s="19"/>
      <c r="U168" s="19"/>
      <c r="V168" s="19"/>
      <c r="W168" s="19"/>
      <c r="X168" s="19"/>
      <c r="Y168" s="19"/>
      <c r="Z168" s="19"/>
      <c r="AA168" s="19"/>
      <c r="AB168" s="19"/>
      <c r="AC168" s="19"/>
      <c r="AD168" s="19"/>
      <c r="AE168" s="19"/>
      <c r="AF168" s="19"/>
      <c r="AG168" s="19"/>
      <c r="AH168" s="19"/>
      <c r="AI168" s="19"/>
      <c r="AJ168" s="19"/>
      <c r="AK168" s="19"/>
      <c r="AL168" s="19"/>
      <c r="AM168" s="19"/>
      <c r="AN168" s="19"/>
      <c r="AO168" s="19"/>
      <c r="AP168" s="19"/>
      <c r="AQ168" s="19"/>
      <c r="AR168" s="19"/>
      <c r="AS168" s="19"/>
      <c r="AT168" s="19"/>
      <c r="AU168" s="19"/>
      <c r="AV168" s="19"/>
      <c r="AW168" s="19"/>
      <c r="AX168" s="19"/>
      <c r="AY168" s="19"/>
      <c r="AZ168" s="19"/>
      <c r="BA168" s="19"/>
      <c r="BB168" s="19"/>
      <c r="BC168" s="19"/>
      <c r="BD168" s="19"/>
      <c r="BE168" s="19"/>
      <c r="BF168" s="19"/>
      <c r="BG168" s="19"/>
      <c r="BH168" s="19"/>
      <c r="BI168" s="19"/>
      <c r="BJ168" s="19"/>
      <c r="BK168" s="19"/>
      <c r="BL168" s="19"/>
      <c r="BM168" s="19"/>
      <c r="BN168" s="19"/>
      <c r="BO168" s="19"/>
      <c r="BP168" s="19"/>
      <c r="BQ168" s="19"/>
      <c r="BR168" s="19"/>
      <c r="BS168" s="19"/>
      <c r="BT168" s="19"/>
      <c r="BU168" s="19"/>
      <c r="BV168" s="19"/>
      <c r="BW168" s="19"/>
      <c r="BX168" s="19"/>
      <c r="BY168" s="19"/>
      <c r="BZ168" s="19"/>
      <c r="CA168" s="19"/>
      <c r="CB168" s="19"/>
      <c r="CC168" s="19"/>
      <c r="CD168" s="19"/>
      <c r="CE168" s="19"/>
      <c r="CF168" s="19"/>
      <c r="CG168" s="19"/>
      <c r="CH168" s="19"/>
      <c r="CI168" s="19"/>
      <c r="CJ168" s="19"/>
      <c r="CK168" s="19"/>
      <c r="CL168" s="19"/>
      <c r="CM168" s="19"/>
      <c r="CN168" s="19"/>
      <c r="CO168" s="19"/>
      <c r="CP168" s="19"/>
      <c r="CQ168" s="19"/>
      <c r="CR168" s="19"/>
      <c r="CS168" s="19"/>
      <c r="CT168" s="19"/>
      <c r="CU168" s="19"/>
      <c r="CV168" s="19"/>
      <c r="CW168" s="19"/>
      <c r="CX168" s="19"/>
      <c r="CY168" s="19"/>
      <c r="CZ168" s="19"/>
      <c r="DA168" s="19"/>
      <c r="DB168" s="19"/>
      <c r="DC168" s="19"/>
      <c r="DD168" s="19"/>
      <c r="DE168" s="19"/>
      <c r="DF168" s="19"/>
      <c r="DG168" s="19"/>
      <c r="DH168" s="19"/>
      <c r="DI168" s="19"/>
      <c r="DJ168" s="19"/>
      <c r="DK168" s="19"/>
      <c r="DL168" s="19"/>
      <c r="DM168" s="19"/>
      <c r="DN168" s="44">
        <v>21420</v>
      </c>
      <c r="DO168" s="22"/>
      <c r="DP168" s="52"/>
      <c r="DQ168" s="52"/>
      <c r="DR168" s="52"/>
      <c r="DS168" s="52"/>
      <c r="DT168" s="52"/>
      <c r="DU168" s="52"/>
      <c r="DV168" s="52"/>
      <c r="DW168" s="52"/>
      <c r="DX168" s="52"/>
      <c r="DY168" s="52"/>
      <c r="DZ168" s="52"/>
      <c r="EA168" s="52"/>
      <c r="EB168" s="52"/>
      <c r="EC168" s="52"/>
      <c r="ED168" s="52"/>
      <c r="EE168" s="52"/>
      <c r="EF168" s="52">
        <v>15000</v>
      </c>
      <c r="EG168" s="52"/>
      <c r="EH168" s="52"/>
      <c r="EI168" s="52"/>
      <c r="EJ168" s="52"/>
      <c r="EK168" s="52"/>
      <c r="EL168" s="52"/>
      <c r="EM168" s="52"/>
      <c r="EN168" s="52"/>
      <c r="EO168" s="52"/>
      <c r="EP168" s="52"/>
      <c r="EQ168" s="45">
        <f>MEDIAN(DN168,DP168,EF168)</f>
        <v>18210</v>
      </c>
      <c r="ER168" s="45">
        <f>AVERAGE(DN168,DP168,EF168)</f>
        <v>18210</v>
      </c>
      <c r="ES168" s="45">
        <f>+STDEV(DN168,DP168,EF168)</f>
        <v>4539.6255352176349</v>
      </c>
      <c r="ET168" s="46">
        <f t="shared" si="50"/>
        <v>0.24929300028652582</v>
      </c>
      <c r="EU168" s="44">
        <f t="shared" ref="EU168" si="62">EW168/1.19</f>
        <v>15302.521008403362</v>
      </c>
      <c r="EV168" s="44">
        <f t="shared" si="55"/>
        <v>2907.4789915966389</v>
      </c>
      <c r="EW168" s="44">
        <f t="shared" ref="EW168" si="63">+ROUNDUP(IF(ET168&lt;15%,ER168,EQ168),0)</f>
        <v>18210</v>
      </c>
      <c r="EX168" s="103">
        <f t="shared" si="51"/>
        <v>109260</v>
      </c>
      <c r="EY168" s="26" t="s">
        <v>219</v>
      </c>
    </row>
    <row r="169" spans="1:155" ht="121.9" x14ac:dyDescent="0.35">
      <c r="A169" s="27">
        <v>148</v>
      </c>
      <c r="B169" s="141" t="s">
        <v>22</v>
      </c>
      <c r="C169" s="143" t="s">
        <v>275</v>
      </c>
      <c r="D169" s="26" t="s">
        <v>17</v>
      </c>
      <c r="E169" s="26">
        <v>94</v>
      </c>
      <c r="F169" s="63"/>
      <c r="G169" s="125"/>
      <c r="H169" s="17"/>
      <c r="I169" s="18"/>
      <c r="J169" s="18"/>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c r="AS169" s="19"/>
      <c r="AT169" s="19"/>
      <c r="AU169" s="19"/>
      <c r="AV169" s="19"/>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19"/>
      <c r="BU169" s="19"/>
      <c r="BV169" s="19"/>
      <c r="BW169" s="19"/>
      <c r="BX169" s="19"/>
      <c r="BY169" s="19"/>
      <c r="BZ169" s="19"/>
      <c r="CA169" s="19"/>
      <c r="CB169" s="19"/>
      <c r="CC169" s="19"/>
      <c r="CD169" s="19"/>
      <c r="CE169" s="19"/>
      <c r="CF169" s="19"/>
      <c r="CG169" s="19"/>
      <c r="CH169" s="19"/>
      <c r="CI169" s="19"/>
      <c r="CJ169" s="19"/>
      <c r="CK169" s="19"/>
      <c r="CL169" s="19"/>
      <c r="CM169" s="19"/>
      <c r="CN169" s="19"/>
      <c r="CO169" s="19"/>
      <c r="CP169" s="19"/>
      <c r="CQ169" s="19"/>
      <c r="CR169" s="19"/>
      <c r="CS169" s="19"/>
      <c r="CT169" s="19"/>
      <c r="CU169" s="19"/>
      <c r="CV169" s="19"/>
      <c r="CW169" s="19"/>
      <c r="CX169" s="19"/>
      <c r="CY169" s="19"/>
      <c r="CZ169" s="19"/>
      <c r="DA169" s="19"/>
      <c r="DB169" s="19"/>
      <c r="DC169" s="19"/>
      <c r="DD169" s="19"/>
      <c r="DE169" s="19"/>
      <c r="DF169" s="19"/>
      <c r="DG169" s="19"/>
      <c r="DH169" s="19"/>
      <c r="DI169" s="19"/>
      <c r="DJ169" s="19"/>
      <c r="DK169" s="19"/>
      <c r="DL169" s="19"/>
      <c r="DM169" s="19"/>
      <c r="DN169" s="44">
        <v>21420</v>
      </c>
      <c r="DO169" s="22"/>
      <c r="DP169" s="52"/>
      <c r="DQ169" s="52"/>
      <c r="DR169" s="52"/>
      <c r="DS169" s="52"/>
      <c r="DT169" s="52"/>
      <c r="DU169" s="52"/>
      <c r="DV169" s="52"/>
      <c r="DW169" s="52"/>
      <c r="DX169" s="52"/>
      <c r="DY169" s="52"/>
      <c r="DZ169" s="52"/>
      <c r="EA169" s="52"/>
      <c r="EB169" s="52"/>
      <c r="EC169" s="52"/>
      <c r="ED169" s="52"/>
      <c r="EE169" s="52"/>
      <c r="EF169" s="52">
        <v>15000</v>
      </c>
      <c r="EG169" s="52"/>
      <c r="EH169" s="52"/>
      <c r="EI169" s="52"/>
      <c r="EJ169" s="52"/>
      <c r="EK169" s="52"/>
      <c r="EL169" s="52"/>
      <c r="EM169" s="52"/>
      <c r="EN169" s="52"/>
      <c r="EO169" s="52"/>
      <c r="EP169" s="52"/>
      <c r="EQ169" s="45">
        <f>MEDIAN(DN169,DP169,EF169)</f>
        <v>18210</v>
      </c>
      <c r="ER169" s="45">
        <f>AVERAGE(DN169,DP169,EF169)</f>
        <v>18210</v>
      </c>
      <c r="ES169" s="45">
        <f>+STDEV(DN169,DP169,EF169)</f>
        <v>4539.6255352176349</v>
      </c>
      <c r="ET169" s="46">
        <f t="shared" ref="ET169" si="64">ES169/ER169</f>
        <v>0.24929300028652582</v>
      </c>
      <c r="EU169" s="44">
        <f t="shared" ref="EU169" si="65">EW169/1.19</f>
        <v>15302.521008403362</v>
      </c>
      <c r="EV169" s="44">
        <f t="shared" si="55"/>
        <v>2907.4789915966389</v>
      </c>
      <c r="EW169" s="44">
        <f t="shared" ref="EW169" si="66">+ROUNDUP(IF(ET169&lt;15%,ER169,EQ169),0)</f>
        <v>18210</v>
      </c>
      <c r="EX169" s="103">
        <f t="shared" si="51"/>
        <v>1711740</v>
      </c>
      <c r="EY169" s="26" t="s">
        <v>219</v>
      </c>
    </row>
    <row r="170" spans="1:155" ht="67.5" x14ac:dyDescent="0.35">
      <c r="A170" s="27">
        <v>149</v>
      </c>
      <c r="B170" s="142" t="s">
        <v>92</v>
      </c>
      <c r="C170" s="142" t="s">
        <v>263</v>
      </c>
      <c r="D170" s="34" t="s">
        <v>17</v>
      </c>
      <c r="E170" s="34">
        <v>4</v>
      </c>
      <c r="F170" s="77"/>
      <c r="G170" s="128"/>
      <c r="H170" s="36"/>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c r="AN170" s="37"/>
      <c r="AO170" s="37"/>
      <c r="AP170" s="37"/>
      <c r="AQ170" s="37"/>
      <c r="AR170" s="37"/>
      <c r="AS170" s="37"/>
      <c r="AT170" s="37"/>
      <c r="AU170" s="37"/>
      <c r="AV170" s="37"/>
      <c r="AW170" s="37"/>
      <c r="AX170" s="37"/>
      <c r="AY170" s="37"/>
      <c r="AZ170" s="37"/>
      <c r="BA170" s="37"/>
      <c r="BB170" s="37"/>
      <c r="BC170" s="37"/>
      <c r="BD170" s="37"/>
      <c r="BE170" s="37"/>
      <c r="BF170" s="37"/>
      <c r="BG170" s="37"/>
      <c r="BH170" s="37"/>
      <c r="BI170" s="37"/>
      <c r="BJ170" s="37"/>
      <c r="BK170" s="37"/>
      <c r="BL170" s="37"/>
      <c r="BM170" s="37"/>
      <c r="BN170" s="37"/>
      <c r="BO170" s="37"/>
      <c r="BP170" s="37"/>
      <c r="BQ170" s="37"/>
      <c r="BR170" s="37"/>
      <c r="BS170" s="37"/>
      <c r="BT170" s="37"/>
      <c r="BU170" s="37"/>
      <c r="BV170" s="37"/>
      <c r="BW170" s="37"/>
      <c r="BX170" s="37"/>
      <c r="BY170" s="37"/>
      <c r="BZ170" s="37"/>
      <c r="CA170" s="37"/>
      <c r="CB170" s="37"/>
      <c r="CC170" s="37"/>
      <c r="CD170" s="37"/>
      <c r="CE170" s="37"/>
      <c r="CF170" s="37"/>
      <c r="CG170" s="37"/>
      <c r="CH170" s="37"/>
      <c r="CI170" s="37"/>
      <c r="CJ170" s="37"/>
      <c r="CK170" s="37"/>
      <c r="CL170" s="37"/>
      <c r="CM170" s="37"/>
      <c r="CN170" s="37"/>
      <c r="CO170" s="37"/>
      <c r="CP170" s="37"/>
      <c r="CQ170" s="37"/>
      <c r="CR170" s="37"/>
      <c r="CS170" s="37"/>
      <c r="CT170" s="37"/>
      <c r="CU170" s="37"/>
      <c r="CV170" s="37"/>
      <c r="CW170" s="37"/>
      <c r="CX170" s="37"/>
      <c r="CY170" s="37"/>
      <c r="CZ170" s="37"/>
      <c r="DA170" s="37"/>
      <c r="DB170" s="37"/>
      <c r="DC170" s="37"/>
      <c r="DD170" s="37"/>
      <c r="DE170" s="37"/>
      <c r="DF170" s="37"/>
      <c r="DG170" s="37"/>
      <c r="DH170" s="37"/>
      <c r="DI170" s="37"/>
      <c r="DJ170" s="37"/>
      <c r="DK170" s="37"/>
      <c r="DL170" s="37"/>
      <c r="DM170" s="37"/>
      <c r="DN170" s="40"/>
      <c r="DO170" s="78"/>
      <c r="DP170" s="79"/>
      <c r="DQ170" s="79"/>
      <c r="DR170" s="79"/>
      <c r="DS170" s="79"/>
      <c r="DT170" s="79"/>
      <c r="DU170" s="79"/>
      <c r="DV170" s="79"/>
      <c r="DW170" s="79"/>
      <c r="DX170" s="79"/>
      <c r="DY170" s="79"/>
      <c r="DZ170" s="79"/>
      <c r="EA170" s="79"/>
      <c r="EB170" s="79"/>
      <c r="EC170" s="79"/>
      <c r="ED170" s="79"/>
      <c r="EE170" s="79"/>
      <c r="EF170" s="79"/>
      <c r="EG170" s="79"/>
      <c r="EH170" s="79"/>
      <c r="EI170" s="79"/>
      <c r="EJ170" s="79"/>
      <c r="EK170" s="79"/>
      <c r="EL170" s="79"/>
      <c r="EM170" s="79"/>
      <c r="EN170" s="79"/>
      <c r="EO170" s="79"/>
      <c r="EP170" s="79"/>
      <c r="EQ170" s="35"/>
      <c r="ER170" s="35"/>
      <c r="ES170" s="35"/>
      <c r="ET170" s="80"/>
      <c r="EU170" s="38">
        <v>300000</v>
      </c>
      <c r="EV170" s="40">
        <v>0</v>
      </c>
      <c r="EW170" s="38">
        <v>300000</v>
      </c>
      <c r="EX170" s="38">
        <f t="shared" si="51"/>
        <v>1200000</v>
      </c>
      <c r="EY170" s="34" t="s">
        <v>227</v>
      </c>
    </row>
    <row r="171" spans="1:155" ht="104.25" customHeight="1" x14ac:dyDescent="0.35">
      <c r="A171" s="27">
        <v>150</v>
      </c>
      <c r="B171" s="130" t="s">
        <v>298</v>
      </c>
      <c r="C171" s="130" t="s">
        <v>228</v>
      </c>
      <c r="D171" s="27" t="s">
        <v>392</v>
      </c>
      <c r="E171" s="27">
        <v>4</v>
      </c>
      <c r="F171" s="81"/>
      <c r="G171" s="125"/>
      <c r="H171" s="17"/>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44"/>
      <c r="DO171" s="82"/>
      <c r="DP171" s="83"/>
      <c r="DQ171" s="83"/>
      <c r="DR171" s="83"/>
      <c r="DS171" s="83"/>
      <c r="DT171" s="83"/>
      <c r="DU171" s="83"/>
      <c r="DV171" s="83"/>
      <c r="DW171" s="83"/>
      <c r="DX171" s="83"/>
      <c r="DY171" s="83"/>
      <c r="DZ171" s="83"/>
      <c r="EA171" s="83"/>
      <c r="EB171" s="83"/>
      <c r="EC171" s="83"/>
      <c r="ED171" s="83"/>
      <c r="EE171" s="83"/>
      <c r="EF171" s="83"/>
      <c r="EG171" s="83"/>
      <c r="EH171" s="83"/>
      <c r="EI171" s="83"/>
      <c r="EJ171" s="83"/>
      <c r="EK171" s="83"/>
      <c r="EL171" s="83"/>
      <c r="EM171" s="83"/>
      <c r="EN171" s="83"/>
      <c r="EO171" s="83"/>
      <c r="EP171" s="83"/>
      <c r="EQ171" s="84"/>
      <c r="ER171" s="84"/>
      <c r="ES171" s="84"/>
      <c r="ET171" s="71"/>
      <c r="EU171" s="44">
        <f>+EW170*10%</f>
        <v>30000</v>
      </c>
      <c r="EV171" s="44">
        <f>+EU171*19%</f>
        <v>5700</v>
      </c>
      <c r="EW171" s="85">
        <f>+((EU171*7%)+EV171)+EU171</f>
        <v>37800</v>
      </c>
      <c r="EX171" s="86">
        <f>+EW171*E171</f>
        <v>151200</v>
      </c>
      <c r="EY171" s="26" t="s">
        <v>374</v>
      </c>
    </row>
    <row r="172" spans="1:155" ht="54" x14ac:dyDescent="0.35">
      <c r="A172" s="27">
        <v>151</v>
      </c>
      <c r="B172" s="142" t="s">
        <v>93</v>
      </c>
      <c r="C172" s="142" t="s">
        <v>264</v>
      </c>
      <c r="D172" s="34" t="s">
        <v>17</v>
      </c>
      <c r="E172" s="34">
        <v>4</v>
      </c>
      <c r="F172" s="77"/>
      <c r="G172" s="128"/>
      <c r="H172" s="36"/>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7"/>
      <c r="AP172" s="37"/>
      <c r="AQ172" s="37"/>
      <c r="AR172" s="37"/>
      <c r="AS172" s="37"/>
      <c r="AT172" s="37"/>
      <c r="AU172" s="37"/>
      <c r="AV172" s="37"/>
      <c r="AW172" s="37"/>
      <c r="AX172" s="37"/>
      <c r="AY172" s="37"/>
      <c r="AZ172" s="37"/>
      <c r="BA172" s="37"/>
      <c r="BB172" s="37"/>
      <c r="BC172" s="37"/>
      <c r="BD172" s="37"/>
      <c r="BE172" s="37"/>
      <c r="BF172" s="37"/>
      <c r="BG172" s="37"/>
      <c r="BH172" s="37"/>
      <c r="BI172" s="37"/>
      <c r="BJ172" s="37"/>
      <c r="BK172" s="37"/>
      <c r="BL172" s="37"/>
      <c r="BM172" s="37"/>
      <c r="BN172" s="37"/>
      <c r="BO172" s="37"/>
      <c r="BP172" s="37"/>
      <c r="BQ172" s="37"/>
      <c r="BR172" s="37"/>
      <c r="BS172" s="37"/>
      <c r="BT172" s="37"/>
      <c r="BU172" s="37"/>
      <c r="BV172" s="37"/>
      <c r="BW172" s="37"/>
      <c r="BX172" s="37"/>
      <c r="BY172" s="37"/>
      <c r="BZ172" s="37"/>
      <c r="CA172" s="37"/>
      <c r="CB172" s="37"/>
      <c r="CC172" s="37"/>
      <c r="CD172" s="37"/>
      <c r="CE172" s="37"/>
      <c r="CF172" s="37"/>
      <c r="CG172" s="37"/>
      <c r="CH172" s="37"/>
      <c r="CI172" s="37"/>
      <c r="CJ172" s="37"/>
      <c r="CK172" s="37"/>
      <c r="CL172" s="37"/>
      <c r="CM172" s="37"/>
      <c r="CN172" s="37"/>
      <c r="CO172" s="37"/>
      <c r="CP172" s="37"/>
      <c r="CQ172" s="37"/>
      <c r="CR172" s="37"/>
      <c r="CS172" s="37"/>
      <c r="CT172" s="37"/>
      <c r="CU172" s="37"/>
      <c r="CV172" s="37"/>
      <c r="CW172" s="37"/>
      <c r="CX172" s="37"/>
      <c r="CY172" s="37"/>
      <c r="CZ172" s="37"/>
      <c r="DA172" s="37"/>
      <c r="DB172" s="37"/>
      <c r="DC172" s="37"/>
      <c r="DD172" s="37"/>
      <c r="DE172" s="37"/>
      <c r="DF172" s="37"/>
      <c r="DG172" s="37"/>
      <c r="DH172" s="37"/>
      <c r="DI172" s="37"/>
      <c r="DJ172" s="37"/>
      <c r="DK172" s="37"/>
      <c r="DL172" s="37"/>
      <c r="DM172" s="37"/>
      <c r="DN172" s="40"/>
      <c r="DO172" s="78"/>
      <c r="DP172" s="79"/>
      <c r="DQ172" s="79"/>
      <c r="DR172" s="79"/>
      <c r="DS172" s="79"/>
      <c r="DT172" s="79"/>
      <c r="DU172" s="79"/>
      <c r="DV172" s="79"/>
      <c r="DW172" s="79"/>
      <c r="DX172" s="79"/>
      <c r="DY172" s="79"/>
      <c r="DZ172" s="79"/>
      <c r="EA172" s="79"/>
      <c r="EB172" s="79"/>
      <c r="EC172" s="79"/>
      <c r="ED172" s="79"/>
      <c r="EE172" s="79"/>
      <c r="EF172" s="79"/>
      <c r="EG172" s="79"/>
      <c r="EH172" s="79"/>
      <c r="EI172" s="79"/>
      <c r="EJ172" s="79"/>
      <c r="EK172" s="79"/>
      <c r="EL172" s="79"/>
      <c r="EM172" s="79"/>
      <c r="EN172" s="79"/>
      <c r="EO172" s="79"/>
      <c r="EP172" s="79"/>
      <c r="EQ172" s="35"/>
      <c r="ER172" s="35"/>
      <c r="ES172" s="35"/>
      <c r="ET172" s="80"/>
      <c r="EU172" s="38">
        <v>150000</v>
      </c>
      <c r="EV172" s="40">
        <v>0</v>
      </c>
      <c r="EW172" s="38">
        <v>150000</v>
      </c>
      <c r="EX172" s="38">
        <f t="shared" si="51"/>
        <v>600000</v>
      </c>
      <c r="EY172" s="34" t="s">
        <v>297</v>
      </c>
    </row>
    <row r="173" spans="1:155" ht="81" x14ac:dyDescent="0.35">
      <c r="A173" s="27">
        <v>152</v>
      </c>
      <c r="B173" s="130" t="s">
        <v>298</v>
      </c>
      <c r="C173" s="130" t="s">
        <v>228</v>
      </c>
      <c r="D173" s="27" t="s">
        <v>17</v>
      </c>
      <c r="E173" s="27">
        <v>4</v>
      </c>
      <c r="F173" s="81"/>
      <c r="G173" s="125"/>
      <c r="H173" s="17"/>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44"/>
      <c r="DO173" s="82"/>
      <c r="DP173" s="83"/>
      <c r="DQ173" s="83"/>
      <c r="DR173" s="83"/>
      <c r="DS173" s="83"/>
      <c r="DT173" s="83"/>
      <c r="DU173" s="83"/>
      <c r="DV173" s="83"/>
      <c r="DW173" s="83"/>
      <c r="DX173" s="83"/>
      <c r="DY173" s="83"/>
      <c r="DZ173" s="83"/>
      <c r="EA173" s="83"/>
      <c r="EB173" s="83"/>
      <c r="EC173" s="83"/>
      <c r="ED173" s="83"/>
      <c r="EE173" s="83"/>
      <c r="EF173" s="83"/>
      <c r="EG173" s="83"/>
      <c r="EH173" s="83"/>
      <c r="EI173" s="83"/>
      <c r="EJ173" s="83"/>
      <c r="EK173" s="83"/>
      <c r="EL173" s="83"/>
      <c r="EM173" s="83"/>
      <c r="EN173" s="83"/>
      <c r="EO173" s="83"/>
      <c r="EP173" s="83"/>
      <c r="EQ173" s="84"/>
      <c r="ER173" s="84"/>
      <c r="ES173" s="84"/>
      <c r="ET173" s="71"/>
      <c r="EU173" s="44">
        <f>+EW172*10%</f>
        <v>15000</v>
      </c>
      <c r="EV173" s="44">
        <f>+EU173*19%</f>
        <v>2850</v>
      </c>
      <c r="EW173" s="102">
        <f>+((EU173*7%)+EV173)+EU173</f>
        <v>18900</v>
      </c>
      <c r="EX173" s="103">
        <f>+EW173*E173</f>
        <v>75600</v>
      </c>
      <c r="EY173" s="26" t="s">
        <v>374</v>
      </c>
    </row>
    <row r="174" spans="1:155" ht="15.75" customHeight="1" x14ac:dyDescent="0.35">
      <c r="A174" s="109" t="s">
        <v>98</v>
      </c>
      <c r="B174" s="110"/>
      <c r="C174" s="110"/>
      <c r="D174" s="110"/>
      <c r="E174" s="110"/>
      <c r="F174" s="111"/>
      <c r="G174" s="129"/>
      <c r="H174" s="28"/>
      <c r="I174" s="29"/>
      <c r="J174" s="29"/>
      <c r="K174" s="29"/>
      <c r="L174" s="29"/>
      <c r="M174" s="29"/>
      <c r="N174" s="29"/>
      <c r="O174" s="29"/>
      <c r="P174" s="29"/>
      <c r="Q174" s="29"/>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c r="AY174" s="29"/>
      <c r="AZ174" s="29"/>
      <c r="BA174" s="29"/>
      <c r="BB174" s="29"/>
      <c r="BC174" s="29"/>
      <c r="BD174" s="29"/>
      <c r="BE174" s="29"/>
      <c r="BF174" s="29"/>
      <c r="BG174" s="29"/>
      <c r="BH174" s="29"/>
      <c r="BI174" s="29"/>
      <c r="BJ174" s="29"/>
      <c r="BK174" s="29"/>
      <c r="BL174" s="29"/>
      <c r="BM174" s="29"/>
      <c r="BN174" s="29"/>
      <c r="BO174" s="29"/>
      <c r="BP174" s="29"/>
      <c r="BQ174" s="29"/>
      <c r="BR174" s="29"/>
      <c r="BS174" s="29"/>
      <c r="BT174" s="29"/>
      <c r="BU174" s="29"/>
      <c r="BV174" s="29"/>
      <c r="BW174" s="29"/>
      <c r="BX174" s="29"/>
      <c r="BY174" s="29"/>
      <c r="BZ174" s="29"/>
      <c r="CA174" s="29"/>
      <c r="CB174" s="29"/>
      <c r="CC174" s="29"/>
      <c r="CD174" s="29"/>
      <c r="CE174" s="29"/>
      <c r="CF174" s="29"/>
      <c r="CG174" s="29"/>
      <c r="CH174" s="29"/>
      <c r="CI174" s="29"/>
      <c r="CJ174" s="29"/>
      <c r="CK174" s="29"/>
      <c r="CL174" s="29"/>
      <c r="CM174" s="29"/>
      <c r="CN174" s="29"/>
      <c r="CO174" s="29"/>
      <c r="CP174" s="29"/>
      <c r="CQ174" s="29"/>
      <c r="CR174" s="29"/>
      <c r="CS174" s="29"/>
      <c r="CT174" s="29"/>
      <c r="CU174" s="29"/>
      <c r="CV174" s="29"/>
      <c r="CW174" s="29"/>
      <c r="CX174" s="29"/>
      <c r="CY174" s="29"/>
      <c r="CZ174" s="29"/>
      <c r="DA174" s="29"/>
      <c r="DB174" s="29"/>
      <c r="DC174" s="29"/>
      <c r="DD174" s="29"/>
      <c r="DE174" s="29"/>
      <c r="DF174" s="29"/>
      <c r="DG174" s="29"/>
      <c r="DH174" s="29"/>
      <c r="DI174" s="29"/>
      <c r="DJ174" s="29"/>
      <c r="DK174" s="29"/>
      <c r="DL174" s="29"/>
      <c r="DM174" s="29"/>
      <c r="DN174" s="57"/>
      <c r="DO174" s="87"/>
      <c r="DP174" s="88"/>
      <c r="DQ174" s="88"/>
      <c r="DR174" s="88"/>
      <c r="DS174" s="88"/>
      <c r="DT174" s="88"/>
      <c r="DU174" s="88"/>
      <c r="DV174" s="88"/>
      <c r="DW174" s="88"/>
      <c r="DX174" s="88"/>
      <c r="DY174" s="88"/>
      <c r="DZ174" s="88"/>
      <c r="EA174" s="88"/>
      <c r="EB174" s="88"/>
      <c r="EC174" s="88"/>
      <c r="ED174" s="88"/>
      <c r="EE174" s="88"/>
      <c r="EF174" s="88"/>
      <c r="EG174" s="88"/>
      <c r="EH174" s="88"/>
      <c r="EI174" s="88"/>
      <c r="EJ174" s="88"/>
      <c r="EK174" s="88"/>
      <c r="EL174" s="88"/>
      <c r="EM174" s="88"/>
      <c r="EN174" s="88"/>
      <c r="EO174" s="88"/>
      <c r="EP174" s="88"/>
      <c r="EQ174" s="55"/>
      <c r="ER174" s="55"/>
      <c r="ES174" s="55"/>
      <c r="ET174" s="56"/>
      <c r="EU174" s="57"/>
      <c r="EV174" s="57"/>
      <c r="EW174" s="58"/>
      <c r="EX174" s="59"/>
      <c r="EY174" s="60"/>
    </row>
    <row r="175" spans="1:155" ht="55.5" customHeight="1" x14ac:dyDescent="0.35">
      <c r="A175" s="27">
        <v>153</v>
      </c>
      <c r="B175" s="130" t="s">
        <v>95</v>
      </c>
      <c r="C175" s="130" t="s">
        <v>96</v>
      </c>
      <c r="D175" s="41" t="s">
        <v>397</v>
      </c>
      <c r="E175" s="41">
        <v>5</v>
      </c>
      <c r="F175" s="63"/>
      <c r="G175" s="125"/>
      <c r="H175" s="17"/>
      <c r="I175" s="18"/>
      <c r="J175" s="18"/>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23">
        <v>1600000</v>
      </c>
      <c r="AU175" s="19"/>
      <c r="AV175" s="19"/>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19"/>
      <c r="BU175" s="19"/>
      <c r="BV175" s="19"/>
      <c r="BW175" s="19"/>
      <c r="BX175" s="19"/>
      <c r="BY175" s="19"/>
      <c r="BZ175" s="19"/>
      <c r="CA175" s="19"/>
      <c r="CB175" s="19"/>
      <c r="CC175" s="19"/>
      <c r="CD175" s="19"/>
      <c r="CE175" s="19"/>
      <c r="CF175" s="19"/>
      <c r="CG175" s="19"/>
      <c r="CH175" s="19"/>
      <c r="CI175" s="19"/>
      <c r="CJ175" s="19"/>
      <c r="CK175" s="19"/>
      <c r="CL175" s="19"/>
      <c r="CM175" s="19"/>
      <c r="CN175" s="19"/>
      <c r="CO175" s="19"/>
      <c r="CP175" s="19"/>
      <c r="CQ175" s="19"/>
      <c r="CR175" s="19"/>
      <c r="CS175" s="19"/>
      <c r="CT175" s="19"/>
      <c r="CU175" s="19"/>
      <c r="CV175" s="19"/>
      <c r="CW175" s="19"/>
      <c r="CX175" s="19"/>
      <c r="CY175" s="19"/>
      <c r="CZ175" s="19"/>
      <c r="DA175" s="19"/>
      <c r="DB175" s="19"/>
      <c r="DC175" s="19"/>
      <c r="DD175" s="19"/>
      <c r="DE175" s="19"/>
      <c r="DF175" s="19"/>
      <c r="DG175" s="19"/>
      <c r="DH175" s="19"/>
      <c r="DI175" s="19"/>
      <c r="DJ175" s="19"/>
      <c r="DK175" s="19"/>
      <c r="DL175" s="19"/>
      <c r="DM175" s="19"/>
      <c r="DN175" s="214">
        <v>1368500</v>
      </c>
      <c r="DO175" s="22"/>
      <c r="DP175" s="54"/>
      <c r="DQ175" s="54"/>
      <c r="DR175" s="54"/>
      <c r="DS175" s="54"/>
      <c r="DT175" s="54"/>
      <c r="DU175" s="54"/>
      <c r="DV175" s="54"/>
      <c r="DW175" s="54"/>
      <c r="DX175" s="54"/>
      <c r="DY175" s="54"/>
      <c r="DZ175" s="54"/>
      <c r="EA175" s="54"/>
      <c r="EB175" s="54"/>
      <c r="EC175" s="54"/>
      <c r="ED175" s="54"/>
      <c r="EE175" s="54"/>
      <c r="EF175" s="54"/>
      <c r="EG175" s="54"/>
      <c r="EH175" s="54"/>
      <c r="EI175" s="54"/>
      <c r="EJ175" s="54"/>
      <c r="EK175" s="54"/>
      <c r="EL175" s="54"/>
      <c r="EM175" s="54"/>
      <c r="EN175" s="54"/>
      <c r="EO175" s="54"/>
      <c r="EP175" s="54"/>
      <c r="EQ175" s="45">
        <f>MEDIAN(DN175,AT175)</f>
        <v>1484250</v>
      </c>
      <c r="ER175" s="45">
        <f>AVERAGE(DN175,AT175)</f>
        <v>1484250</v>
      </c>
      <c r="ES175" s="45">
        <f>+STDEV(DN175,AT175)</f>
        <v>163695.21984468575</v>
      </c>
      <c r="ET175" s="46">
        <f t="shared" si="50"/>
        <v>0.11028817237304077</v>
      </c>
      <c r="EU175" s="102">
        <v>1484250</v>
      </c>
      <c r="EV175" s="47">
        <v>0</v>
      </c>
      <c r="EW175" s="102">
        <v>1484250</v>
      </c>
      <c r="EX175" s="103">
        <f t="shared" ref="EX175:EX182" si="67">+EW175*E175</f>
        <v>7421250</v>
      </c>
      <c r="EY175" s="26" t="s">
        <v>218</v>
      </c>
    </row>
    <row r="176" spans="1:155" ht="40.5" x14ac:dyDescent="0.35">
      <c r="A176" s="27">
        <v>154</v>
      </c>
      <c r="B176" s="145" t="s">
        <v>44</v>
      </c>
      <c r="C176" s="64" t="s">
        <v>241</v>
      </c>
      <c r="D176" s="41" t="s">
        <v>17</v>
      </c>
      <c r="E176" s="26">
        <v>100</v>
      </c>
      <c r="F176" s="63"/>
      <c r="G176" s="125"/>
      <c r="H176" s="17"/>
      <c r="I176" s="18"/>
      <c r="J176" s="18"/>
      <c r="K176" s="19"/>
      <c r="L176" s="19"/>
      <c r="M176" s="19"/>
      <c r="N176" s="19"/>
      <c r="O176" s="19"/>
      <c r="P176" s="19"/>
      <c r="Q176" s="19"/>
      <c r="R176" s="19"/>
      <c r="S176" s="19"/>
      <c r="T176" s="19"/>
      <c r="U176" s="48">
        <v>3000</v>
      </c>
      <c r="V176" s="48">
        <v>3153</v>
      </c>
      <c r="W176" s="48">
        <v>2000</v>
      </c>
      <c r="X176" s="48">
        <v>2102</v>
      </c>
      <c r="Y176" s="48">
        <v>2000</v>
      </c>
      <c r="Z176" s="48">
        <v>2102</v>
      </c>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c r="BP176" s="19"/>
      <c r="BQ176" s="19"/>
      <c r="BR176" s="19"/>
      <c r="BS176" s="19"/>
      <c r="BT176" s="19"/>
      <c r="BU176" s="19"/>
      <c r="BV176" s="19"/>
      <c r="BW176" s="19"/>
      <c r="BX176" s="19"/>
      <c r="BY176" s="19"/>
      <c r="BZ176" s="19"/>
      <c r="CA176" s="19"/>
      <c r="CB176" s="19"/>
      <c r="CC176" s="19"/>
      <c r="CD176" s="19"/>
      <c r="CE176" s="19"/>
      <c r="CF176" s="19"/>
      <c r="CG176" s="19"/>
      <c r="CH176" s="19"/>
      <c r="CI176" s="19"/>
      <c r="CJ176" s="19"/>
      <c r="CK176" s="19"/>
      <c r="CL176" s="19"/>
      <c r="CM176" s="19"/>
      <c r="CN176" s="19"/>
      <c r="CO176" s="19"/>
      <c r="CP176" s="19"/>
      <c r="CQ176" s="19"/>
      <c r="CR176" s="19"/>
      <c r="CS176" s="19"/>
      <c r="CT176" s="19"/>
      <c r="CU176" s="19"/>
      <c r="CV176" s="19"/>
      <c r="CW176" s="19"/>
      <c r="CX176" s="19"/>
      <c r="CY176" s="19"/>
      <c r="CZ176" s="19"/>
      <c r="DA176" s="19"/>
      <c r="DB176" s="19"/>
      <c r="DC176" s="19"/>
      <c r="DD176" s="19"/>
      <c r="DE176" s="19"/>
      <c r="DF176" s="19"/>
      <c r="DG176" s="19"/>
      <c r="DH176" s="19"/>
      <c r="DI176" s="19"/>
      <c r="DJ176" s="19"/>
      <c r="DK176" s="19"/>
      <c r="DL176" s="19"/>
      <c r="DM176" s="19"/>
      <c r="DN176" s="44"/>
      <c r="DO176" s="22"/>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45">
        <v>2102</v>
      </c>
      <c r="ER176" s="45">
        <v>2452.3333333333335</v>
      </c>
      <c r="ES176" s="45">
        <v>606.79513291829721</v>
      </c>
      <c r="ET176" s="46">
        <v>0.24743582965269695</v>
      </c>
      <c r="EU176" s="215">
        <v>2102</v>
      </c>
      <c r="EV176" s="44">
        <v>0</v>
      </c>
      <c r="EW176" s="215">
        <v>2102</v>
      </c>
      <c r="EX176" s="103">
        <f t="shared" si="67"/>
        <v>210200</v>
      </c>
      <c r="EY176" s="26" t="s">
        <v>220</v>
      </c>
    </row>
    <row r="177" spans="1:158" ht="94.5" x14ac:dyDescent="0.35">
      <c r="A177" s="27">
        <v>155</v>
      </c>
      <c r="B177" s="145" t="s">
        <v>170</v>
      </c>
      <c r="C177" s="64" t="s">
        <v>391</v>
      </c>
      <c r="D177" s="41" t="s">
        <v>17</v>
      </c>
      <c r="E177" s="41">
        <v>5</v>
      </c>
      <c r="F177" s="63"/>
      <c r="G177" s="125"/>
      <c r="H177" s="17"/>
      <c r="I177" s="18"/>
      <c r="J177" s="18"/>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c r="AI177" s="19"/>
      <c r="AJ177" s="19"/>
      <c r="AK177" s="19"/>
      <c r="AL177" s="19"/>
      <c r="AM177" s="48">
        <v>1400000</v>
      </c>
      <c r="AN177" s="48">
        <v>1460000</v>
      </c>
      <c r="AO177" s="19"/>
      <c r="AP177" s="19"/>
      <c r="AQ177" s="19"/>
      <c r="AR177" s="19"/>
      <c r="AS177" s="19"/>
      <c r="AT177" s="19"/>
      <c r="AU177" s="19"/>
      <c r="AV177" s="19"/>
      <c r="AW177" s="19"/>
      <c r="AX177" s="19"/>
      <c r="AY177" s="19"/>
      <c r="AZ177" s="19"/>
      <c r="BA177" s="19"/>
      <c r="BB177" s="19"/>
      <c r="BC177" s="19"/>
      <c r="BD177" s="19"/>
      <c r="BE177" s="19"/>
      <c r="BF177" s="19"/>
      <c r="BG177" s="19"/>
      <c r="BH177" s="19"/>
      <c r="BI177" s="19"/>
      <c r="BJ177" s="19"/>
      <c r="BK177" s="19"/>
      <c r="BL177" s="19"/>
      <c r="BM177" s="19"/>
      <c r="BN177" s="19"/>
      <c r="BO177" s="19"/>
      <c r="BP177" s="19"/>
      <c r="BQ177" s="19"/>
      <c r="BR177" s="48">
        <v>1437500</v>
      </c>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c r="CR177" s="48"/>
      <c r="CS177" s="48"/>
      <c r="CT177" s="48"/>
      <c r="CU177" s="48"/>
      <c r="CV177" s="48"/>
      <c r="CW177" s="48"/>
      <c r="CX177" s="48"/>
      <c r="CY177" s="48"/>
      <c r="CZ177" s="48"/>
      <c r="DA177" s="48"/>
      <c r="DB177" s="48"/>
      <c r="DC177" s="48"/>
      <c r="DD177" s="48"/>
      <c r="DE177" s="48"/>
      <c r="DF177" s="48"/>
      <c r="DG177" s="48"/>
      <c r="DH177" s="48"/>
      <c r="DI177" s="48"/>
      <c r="DJ177" s="48"/>
      <c r="DK177" s="48"/>
      <c r="DL177" s="48"/>
      <c r="DM177" s="48"/>
      <c r="DN177" s="44"/>
      <c r="DO177" s="22"/>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45">
        <f>MEDIAN(AM177,AN177,BR177)</f>
        <v>1437500</v>
      </c>
      <c r="ER177" s="45">
        <f>AVERAGE(AM177,AN177,BR177)</f>
        <v>1432500</v>
      </c>
      <c r="ES177" s="45">
        <f>+STDEV(AM177,AN177,BR177)</f>
        <v>30310.889132455352</v>
      </c>
      <c r="ET177" s="46">
        <f t="shared" si="50"/>
        <v>2.1159433949358011E-2</v>
      </c>
      <c r="EU177" s="44">
        <f t="shared" ref="EU177:EU178" si="68">EW177/1.19</f>
        <v>1203781.512605042</v>
      </c>
      <c r="EV177" s="44">
        <f t="shared" ref="EV177:EV178" si="69">EU177*19%</f>
        <v>228718.48739495798</v>
      </c>
      <c r="EW177" s="44">
        <f t="shared" ref="EW177:EW178" si="70">+ROUNDUP(IF(ET177&lt;15%,ER177,EQ177),0)</f>
        <v>1432500</v>
      </c>
      <c r="EX177" s="103">
        <f t="shared" si="67"/>
        <v>7162500</v>
      </c>
      <c r="EY177" s="26" t="s">
        <v>221</v>
      </c>
    </row>
    <row r="178" spans="1:158" ht="54" x14ac:dyDescent="0.35">
      <c r="A178" s="27">
        <v>156</v>
      </c>
      <c r="B178" s="221" t="s">
        <v>53</v>
      </c>
      <c r="C178" s="143" t="s">
        <v>15</v>
      </c>
      <c r="D178" s="42" t="s">
        <v>17</v>
      </c>
      <c r="E178" s="41">
        <v>100</v>
      </c>
      <c r="F178" s="63"/>
      <c r="G178" s="125"/>
      <c r="H178" s="17"/>
      <c r="I178" s="18"/>
      <c r="J178" s="18"/>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c r="AI178" s="19"/>
      <c r="AJ178" s="19"/>
      <c r="AK178" s="19"/>
      <c r="AL178" s="19"/>
      <c r="AM178" s="19"/>
      <c r="AN178" s="19"/>
      <c r="AO178" s="19"/>
      <c r="AP178" s="19"/>
      <c r="AQ178" s="19"/>
      <c r="AR178" s="19"/>
      <c r="AS178" s="19"/>
      <c r="AT178" s="19"/>
      <c r="AU178" s="19"/>
      <c r="AV178" s="19"/>
      <c r="AW178" s="19"/>
      <c r="AX178" s="19"/>
      <c r="AY178" s="19"/>
      <c r="AZ178" s="19"/>
      <c r="BA178" s="19"/>
      <c r="BB178" s="19"/>
      <c r="BC178" s="19"/>
      <c r="BD178" s="19"/>
      <c r="BE178" s="19"/>
      <c r="BF178" s="19"/>
      <c r="BG178" s="19"/>
      <c r="BH178" s="19"/>
      <c r="BI178" s="19"/>
      <c r="BJ178" s="19"/>
      <c r="BK178" s="19"/>
      <c r="BL178" s="19"/>
      <c r="BM178" s="19"/>
      <c r="BN178" s="19"/>
      <c r="BO178" s="19"/>
      <c r="BP178" s="19"/>
      <c r="BQ178" s="19"/>
      <c r="BR178" s="19"/>
      <c r="BS178" s="19"/>
      <c r="BT178" s="19"/>
      <c r="BU178" s="19"/>
      <c r="BV178" s="19"/>
      <c r="BW178" s="19"/>
      <c r="BX178" s="19"/>
      <c r="BY178" s="19"/>
      <c r="BZ178" s="19"/>
      <c r="CA178" s="19"/>
      <c r="CB178" s="19"/>
      <c r="CC178" s="19"/>
      <c r="CD178" s="19"/>
      <c r="CE178" s="19"/>
      <c r="CF178" s="19"/>
      <c r="CG178" s="19"/>
      <c r="CH178" s="19"/>
      <c r="CI178" s="19"/>
      <c r="CJ178" s="19"/>
      <c r="CK178" s="19"/>
      <c r="CL178" s="19"/>
      <c r="CM178" s="19"/>
      <c r="CN178" s="19"/>
      <c r="CO178" s="19"/>
      <c r="CP178" s="19"/>
      <c r="CQ178" s="19"/>
      <c r="CR178" s="19"/>
      <c r="CS178" s="19"/>
      <c r="CT178" s="19"/>
      <c r="CU178" s="19"/>
      <c r="CV178" s="19"/>
      <c r="CW178" s="19"/>
      <c r="CX178" s="19"/>
      <c r="CY178" s="19"/>
      <c r="CZ178" s="19"/>
      <c r="DA178" s="19"/>
      <c r="DB178" s="19"/>
      <c r="DC178" s="19"/>
      <c r="DD178" s="19"/>
      <c r="DE178" s="19"/>
      <c r="DF178" s="19"/>
      <c r="DG178" s="19"/>
      <c r="DH178" s="19"/>
      <c r="DI178" s="19"/>
      <c r="DJ178" s="19"/>
      <c r="DK178" s="19"/>
      <c r="DL178" s="19"/>
      <c r="DM178" s="19"/>
      <c r="DN178" s="44">
        <v>9520</v>
      </c>
      <c r="DO178" s="22"/>
      <c r="DP178" s="23">
        <v>11900</v>
      </c>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45">
        <f>MEDIAN(DN178,DP178)</f>
        <v>10710</v>
      </c>
      <c r="ER178" s="45">
        <f>AVERAGE(DN178,DP178)</f>
        <v>10710</v>
      </c>
      <c r="ES178" s="45">
        <f>+STDEV(DN178,DP178)</f>
        <v>1682.9141392239831</v>
      </c>
      <c r="ET178" s="46">
        <f t="shared" si="50"/>
        <v>0.15713484026367722</v>
      </c>
      <c r="EU178" s="44">
        <f t="shared" si="68"/>
        <v>9000</v>
      </c>
      <c r="EV178" s="44">
        <f t="shared" si="69"/>
        <v>1710</v>
      </c>
      <c r="EW178" s="44">
        <f t="shared" si="70"/>
        <v>10710</v>
      </c>
      <c r="EX178" s="103">
        <f t="shared" si="67"/>
        <v>1071000</v>
      </c>
      <c r="EY178" s="26" t="s">
        <v>219</v>
      </c>
    </row>
    <row r="179" spans="1:158" ht="81" x14ac:dyDescent="0.35">
      <c r="A179" s="27">
        <v>157</v>
      </c>
      <c r="B179" s="145" t="s">
        <v>47</v>
      </c>
      <c r="C179" s="64" t="s">
        <v>172</v>
      </c>
      <c r="D179" s="41" t="s">
        <v>16</v>
      </c>
      <c r="E179" s="41">
        <v>5</v>
      </c>
      <c r="F179" s="63"/>
      <c r="G179" s="125"/>
      <c r="H179" s="17"/>
      <c r="I179" s="18"/>
      <c r="J179" s="18"/>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c r="AI179" s="19"/>
      <c r="AJ179" s="19"/>
      <c r="AK179" s="19"/>
      <c r="AL179" s="19"/>
      <c r="AM179" s="19"/>
      <c r="AN179" s="19"/>
      <c r="AO179" s="48">
        <v>1280000</v>
      </c>
      <c r="AP179" s="48">
        <v>1345280</v>
      </c>
      <c r="AQ179" s="48">
        <v>1360000</v>
      </c>
      <c r="AR179" s="48">
        <v>1429360</v>
      </c>
      <c r="AS179" s="48">
        <v>1512608</v>
      </c>
      <c r="AT179" s="19"/>
      <c r="AU179" s="19"/>
      <c r="AV179" s="19"/>
      <c r="AW179" s="19"/>
      <c r="AX179" s="19"/>
      <c r="AY179" s="19"/>
      <c r="AZ179" s="19"/>
      <c r="BA179" s="19"/>
      <c r="BB179" s="19"/>
      <c r="BC179" s="19"/>
      <c r="BD179" s="19"/>
      <c r="BE179" s="19"/>
      <c r="BF179" s="19"/>
      <c r="BG179" s="19"/>
      <c r="BH179" s="19"/>
      <c r="BI179" s="19"/>
      <c r="BJ179" s="19"/>
      <c r="BK179" s="19"/>
      <c r="BL179" s="19"/>
      <c r="BM179" s="19"/>
      <c r="BN179" s="19"/>
      <c r="BO179" s="19"/>
      <c r="BP179" s="19"/>
      <c r="BQ179" s="19"/>
      <c r="BR179" s="19"/>
      <c r="BS179" s="19"/>
      <c r="BT179" s="19"/>
      <c r="BU179" s="19"/>
      <c r="BV179" s="19"/>
      <c r="BW179" s="19"/>
      <c r="BX179" s="19"/>
      <c r="BY179" s="19"/>
      <c r="BZ179" s="19"/>
      <c r="CA179" s="19"/>
      <c r="CB179" s="19"/>
      <c r="CC179" s="19"/>
      <c r="CD179" s="19"/>
      <c r="CE179" s="19"/>
      <c r="CF179" s="19"/>
      <c r="CG179" s="19"/>
      <c r="CH179" s="19"/>
      <c r="CI179" s="19"/>
      <c r="CJ179" s="19"/>
      <c r="CK179" s="19"/>
      <c r="CL179" s="19"/>
      <c r="CM179" s="19"/>
      <c r="CN179" s="19"/>
      <c r="CO179" s="19"/>
      <c r="CP179" s="19"/>
      <c r="CQ179" s="19"/>
      <c r="CR179" s="19"/>
      <c r="CS179" s="19"/>
      <c r="CT179" s="19"/>
      <c r="CU179" s="19"/>
      <c r="CV179" s="19"/>
      <c r="CW179" s="19"/>
      <c r="CX179" s="19"/>
      <c r="CY179" s="19"/>
      <c r="CZ179" s="19"/>
      <c r="DA179" s="19"/>
      <c r="DB179" s="19"/>
      <c r="DC179" s="19"/>
      <c r="DD179" s="19"/>
      <c r="DE179" s="19"/>
      <c r="DF179" s="19"/>
      <c r="DG179" s="19"/>
      <c r="DH179" s="19"/>
      <c r="DI179" s="19"/>
      <c r="DJ179" s="19"/>
      <c r="DK179" s="19"/>
      <c r="DL179" s="19"/>
      <c r="DM179" s="19"/>
      <c r="DN179" s="44"/>
      <c r="DO179" s="22"/>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45">
        <f>MEDIAN(AP179,AR179,AS179)</f>
        <v>1429360</v>
      </c>
      <c r="ER179" s="45">
        <f>AVERAGE(AP179,AR179,AS179)</f>
        <v>1429082.6666666667</v>
      </c>
      <c r="ES179" s="45">
        <f>+STDEV(AP179,AR179,AS179)</f>
        <v>83664.344743345311</v>
      </c>
      <c r="ET179" s="46">
        <f t="shared" si="50"/>
        <v>5.8544090341878033E-2</v>
      </c>
      <c r="EU179" s="47">
        <v>1429083</v>
      </c>
      <c r="EV179" s="47">
        <v>0</v>
      </c>
      <c r="EW179" s="47">
        <v>1429083</v>
      </c>
      <c r="EX179" s="103">
        <f t="shared" si="67"/>
        <v>7145415</v>
      </c>
      <c r="EY179" s="26" t="s">
        <v>221</v>
      </c>
    </row>
    <row r="180" spans="1:158" ht="216" x14ac:dyDescent="0.35">
      <c r="A180" s="27">
        <v>158</v>
      </c>
      <c r="B180" s="64" t="s">
        <v>118</v>
      </c>
      <c r="C180" s="64" t="s">
        <v>119</v>
      </c>
      <c r="D180" s="41" t="s">
        <v>17</v>
      </c>
      <c r="E180" s="41">
        <v>100</v>
      </c>
      <c r="F180" s="63"/>
      <c r="G180" s="125"/>
      <c r="H180" s="17"/>
      <c r="I180" s="18"/>
      <c r="J180" s="18"/>
      <c r="K180" s="19"/>
      <c r="L180" s="19"/>
      <c r="M180" s="19"/>
      <c r="N180" s="19"/>
      <c r="O180" s="19"/>
      <c r="P180" s="19"/>
      <c r="Q180" s="48">
        <v>38000</v>
      </c>
      <c r="R180" s="48">
        <f>+(Q180*5.1%)+Q180</f>
        <v>39938</v>
      </c>
      <c r="S180" s="48">
        <v>37000</v>
      </c>
      <c r="T180" s="48">
        <f>+(S180*5.1%)+S180</f>
        <v>38887</v>
      </c>
      <c r="U180" s="48">
        <v>29000</v>
      </c>
      <c r="V180" s="48">
        <v>30479</v>
      </c>
      <c r="W180" s="48">
        <v>37000</v>
      </c>
      <c r="X180" s="48">
        <v>38887</v>
      </c>
      <c r="Y180" s="48">
        <v>27000</v>
      </c>
      <c r="Z180" s="48">
        <v>28404</v>
      </c>
      <c r="AA180" s="48">
        <v>27500</v>
      </c>
      <c r="AB180" s="51">
        <v>28903</v>
      </c>
      <c r="AC180" s="48">
        <v>35000</v>
      </c>
      <c r="AD180" s="48">
        <v>36785</v>
      </c>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c r="CR180" s="48"/>
      <c r="CS180" s="48"/>
      <c r="CT180" s="48"/>
      <c r="CU180" s="48"/>
      <c r="CV180" s="48"/>
      <c r="CW180" s="48"/>
      <c r="CX180" s="48"/>
      <c r="CY180" s="48"/>
      <c r="CZ180" s="48"/>
      <c r="DA180" s="48"/>
      <c r="DB180" s="48"/>
      <c r="DC180" s="48"/>
      <c r="DD180" s="48"/>
      <c r="DE180" s="48"/>
      <c r="DF180" s="48"/>
      <c r="DG180" s="48"/>
      <c r="DH180" s="48"/>
      <c r="DI180" s="48"/>
      <c r="DJ180" s="48"/>
      <c r="DK180" s="48"/>
      <c r="DL180" s="48"/>
      <c r="DM180" s="48"/>
      <c r="DN180" s="44"/>
      <c r="DO180" s="22"/>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45">
        <f>MEDIAN(V180,X180,Z180,AB180,AD180,R180,T180)</f>
        <v>36785</v>
      </c>
      <c r="ER180" s="45">
        <f>AVERAGE(V180,X180,Z180,AB180,AD180,R180,T180)</f>
        <v>34611.857142857145</v>
      </c>
      <c r="ES180" s="45">
        <f>+STDEV(V180,X180,Z180,AB180,AD180,R180,T180)</f>
        <v>5129.2151585653992</v>
      </c>
      <c r="ET180" s="46">
        <f t="shared" si="50"/>
        <v>0.14819242831712415</v>
      </c>
      <c r="EU180" s="44">
        <f>EW180/1.08</f>
        <v>32048.148148148146</v>
      </c>
      <c r="EV180" s="44">
        <f>EU180*8%</f>
        <v>2563.8518518518517</v>
      </c>
      <c r="EW180" s="44">
        <f t="shared" ref="EW180:EW182" si="71">+ROUNDUP(IF(ET180&lt;15%,ER180,EQ180),0)</f>
        <v>34612</v>
      </c>
      <c r="EX180" s="103">
        <f t="shared" si="67"/>
        <v>3461200</v>
      </c>
      <c r="EY180" s="26" t="s">
        <v>221</v>
      </c>
    </row>
    <row r="181" spans="1:158" ht="75.75" customHeight="1" x14ac:dyDescent="0.35">
      <c r="A181" s="27">
        <v>159</v>
      </c>
      <c r="B181" s="74" t="s">
        <v>97</v>
      </c>
      <c r="C181" s="74" t="s">
        <v>265</v>
      </c>
      <c r="D181" s="41" t="s">
        <v>16</v>
      </c>
      <c r="E181" s="41">
        <v>5</v>
      </c>
      <c r="F181" s="63"/>
      <c r="G181" s="125"/>
      <c r="H181" s="17"/>
      <c r="I181" s="18"/>
      <c r="J181" s="18"/>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c r="AI181" s="19"/>
      <c r="AJ181" s="19"/>
      <c r="AK181" s="19"/>
      <c r="AL181" s="19"/>
      <c r="AM181" s="19"/>
      <c r="AN181" s="19"/>
      <c r="AO181" s="19"/>
      <c r="AP181" s="19"/>
      <c r="AQ181" s="19"/>
      <c r="AR181" s="19"/>
      <c r="AS181" s="19"/>
      <c r="AT181" s="19"/>
      <c r="AU181" s="19"/>
      <c r="AV181" s="19"/>
      <c r="AW181" s="19"/>
      <c r="AX181" s="19"/>
      <c r="AY181" s="19"/>
      <c r="AZ181" s="19"/>
      <c r="BA181" s="19"/>
      <c r="BB181" s="19"/>
      <c r="BC181" s="19"/>
      <c r="BD181" s="19"/>
      <c r="BE181" s="19"/>
      <c r="BF181" s="19"/>
      <c r="BG181" s="19"/>
      <c r="BH181" s="19"/>
      <c r="BI181" s="19"/>
      <c r="BJ181" s="19"/>
      <c r="BK181" s="19"/>
      <c r="BL181" s="19"/>
      <c r="BM181" s="19"/>
      <c r="BN181" s="19"/>
      <c r="BO181" s="19"/>
      <c r="BP181" s="19"/>
      <c r="BQ181" s="19"/>
      <c r="BR181" s="19"/>
      <c r="BS181" s="19"/>
      <c r="BT181" s="19"/>
      <c r="BU181" s="19"/>
      <c r="BV181" s="19"/>
      <c r="BW181" s="19"/>
      <c r="BX181" s="19"/>
      <c r="BY181" s="19"/>
      <c r="BZ181" s="19"/>
      <c r="CA181" s="19"/>
      <c r="CB181" s="19"/>
      <c r="CC181" s="19"/>
      <c r="CD181" s="19"/>
      <c r="CE181" s="19"/>
      <c r="CF181" s="19"/>
      <c r="CG181" s="19"/>
      <c r="CH181" s="19"/>
      <c r="CI181" s="19"/>
      <c r="CJ181" s="19"/>
      <c r="CK181" s="19"/>
      <c r="CL181" s="19"/>
      <c r="CM181" s="19"/>
      <c r="CN181" s="19"/>
      <c r="CO181" s="19"/>
      <c r="CP181" s="19"/>
      <c r="CQ181" s="19"/>
      <c r="CR181" s="19"/>
      <c r="CS181" s="19"/>
      <c r="CT181" s="19"/>
      <c r="CU181" s="19"/>
      <c r="CV181" s="19"/>
      <c r="CW181" s="19"/>
      <c r="CX181" s="48">
        <v>150000</v>
      </c>
      <c r="CY181" s="48">
        <v>157650</v>
      </c>
      <c r="CZ181" s="48">
        <v>160000</v>
      </c>
      <c r="DA181" s="48">
        <v>168160</v>
      </c>
      <c r="DB181" s="48">
        <v>158888</v>
      </c>
      <c r="DC181" s="48"/>
      <c r="DD181" s="48"/>
      <c r="DE181" s="48"/>
      <c r="DF181" s="48"/>
      <c r="DG181" s="48"/>
      <c r="DH181" s="48"/>
      <c r="DI181" s="48"/>
      <c r="DJ181" s="48"/>
      <c r="DK181" s="48"/>
      <c r="DL181" s="48"/>
      <c r="DM181" s="48"/>
      <c r="DN181" s="44"/>
      <c r="DO181" s="22"/>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45">
        <f>MEDIAN(CY181,DA181,DB181)</f>
        <v>158888</v>
      </c>
      <c r="ER181" s="45">
        <f>AVERAGE(CY181,DA181,DB181)</f>
        <v>161566</v>
      </c>
      <c r="ES181" s="45">
        <f>+STDEV(CY181,DA181,DB181)</f>
        <v>5744.0219358912618</v>
      </c>
      <c r="ET181" s="46">
        <f t="shared" si="50"/>
        <v>3.5552170233163302E-2</v>
      </c>
      <c r="EU181" s="44">
        <f t="shared" ref="EU181:EU182" si="72">EW181/1.19</f>
        <v>135769.74789915967</v>
      </c>
      <c r="EV181" s="44">
        <f t="shared" ref="EV181:EV182" si="73">EU181*19%</f>
        <v>25796.252100840338</v>
      </c>
      <c r="EW181" s="44">
        <f t="shared" si="71"/>
        <v>161566</v>
      </c>
      <c r="EX181" s="103">
        <f t="shared" si="67"/>
        <v>807830</v>
      </c>
      <c r="EY181" s="26" t="s">
        <v>221</v>
      </c>
    </row>
    <row r="182" spans="1:158" ht="121.9" x14ac:dyDescent="0.35">
      <c r="A182" s="27">
        <v>160</v>
      </c>
      <c r="B182" s="141" t="s">
        <v>189</v>
      </c>
      <c r="C182" s="143" t="s">
        <v>284</v>
      </c>
      <c r="D182" s="41" t="s">
        <v>17</v>
      </c>
      <c r="E182" s="41">
        <v>100</v>
      </c>
      <c r="F182" s="92"/>
      <c r="G182" s="125"/>
      <c r="H182" s="17"/>
      <c r="I182" s="18"/>
      <c r="J182" s="18"/>
      <c r="K182" s="19"/>
      <c r="L182" s="19"/>
      <c r="M182" s="19"/>
      <c r="N182" s="19"/>
      <c r="O182" s="19"/>
      <c r="P182" s="19"/>
      <c r="Q182" s="48"/>
      <c r="R182" s="16"/>
      <c r="S182" s="48"/>
      <c r="T182" s="16"/>
      <c r="U182" s="19"/>
      <c r="V182" s="19"/>
      <c r="W182" s="19"/>
      <c r="X182" s="19"/>
      <c r="Y182" s="19"/>
      <c r="Z182" s="19"/>
      <c r="AA182" s="19"/>
      <c r="AB182" s="19"/>
      <c r="AC182" s="19"/>
      <c r="AD182" s="19"/>
      <c r="AE182" s="19"/>
      <c r="AF182" s="19"/>
      <c r="AG182" s="19"/>
      <c r="AH182" s="19"/>
      <c r="AI182" s="19"/>
      <c r="AJ182" s="19"/>
      <c r="AK182" s="19"/>
      <c r="AL182" s="19"/>
      <c r="AM182" s="19"/>
      <c r="AN182" s="19"/>
      <c r="AO182" s="19"/>
      <c r="AP182" s="19"/>
      <c r="AQ182" s="19"/>
      <c r="AR182" s="19"/>
      <c r="AS182" s="19"/>
      <c r="AT182" s="19"/>
      <c r="AU182" s="19"/>
      <c r="AV182" s="19"/>
      <c r="AW182" s="19"/>
      <c r="AX182" s="19"/>
      <c r="AY182" s="19"/>
      <c r="AZ182" s="19"/>
      <c r="BA182" s="19"/>
      <c r="BB182" s="19"/>
      <c r="BC182" s="19"/>
      <c r="BD182" s="19"/>
      <c r="BE182" s="19"/>
      <c r="BF182" s="19"/>
      <c r="BG182" s="19"/>
      <c r="BH182" s="19"/>
      <c r="BI182" s="19"/>
      <c r="BJ182" s="19"/>
      <c r="BK182" s="19"/>
      <c r="BL182" s="19"/>
      <c r="BM182" s="19"/>
      <c r="BN182" s="19"/>
      <c r="BO182" s="19"/>
      <c r="BP182" s="19"/>
      <c r="BQ182" s="19"/>
      <c r="BR182" s="19"/>
      <c r="BS182" s="19"/>
      <c r="BT182" s="19"/>
      <c r="BU182" s="19"/>
      <c r="BV182" s="19"/>
      <c r="BW182" s="19"/>
      <c r="BX182" s="19"/>
      <c r="BY182" s="19"/>
      <c r="BZ182" s="19"/>
      <c r="CA182" s="19"/>
      <c r="CB182" s="19"/>
      <c r="CC182" s="19"/>
      <c r="CD182" s="19"/>
      <c r="CE182" s="19"/>
      <c r="CF182" s="19"/>
      <c r="CG182" s="19"/>
      <c r="CH182" s="19"/>
      <c r="CI182" s="19"/>
      <c r="CJ182" s="19"/>
      <c r="CK182" s="19"/>
      <c r="CL182" s="49"/>
      <c r="CM182" s="49"/>
      <c r="CN182" s="49"/>
      <c r="CO182" s="49"/>
      <c r="CP182" s="49"/>
      <c r="CQ182" s="49"/>
      <c r="CR182" s="49"/>
      <c r="CS182" s="49"/>
      <c r="CT182" s="49"/>
      <c r="CU182" s="49"/>
      <c r="CV182" s="49"/>
      <c r="CW182" s="49"/>
      <c r="CX182" s="49"/>
      <c r="CY182" s="49"/>
      <c r="CZ182" s="49"/>
      <c r="DA182" s="49"/>
      <c r="DB182" s="49"/>
      <c r="DC182" s="49"/>
      <c r="DD182" s="49"/>
      <c r="DE182" s="49"/>
      <c r="DF182" s="49"/>
      <c r="DG182" s="49"/>
      <c r="DH182" s="49"/>
      <c r="DI182" s="49"/>
      <c r="DJ182" s="49"/>
      <c r="DK182" s="49"/>
      <c r="DL182" s="49"/>
      <c r="DM182" s="49"/>
      <c r="DN182" s="44"/>
      <c r="DO182" s="22"/>
      <c r="DP182" s="23"/>
      <c r="DQ182" s="23"/>
      <c r="DR182" s="23"/>
      <c r="DS182" s="23"/>
      <c r="DT182" s="23"/>
      <c r="DU182" s="23"/>
      <c r="DV182" s="23"/>
      <c r="DW182" s="23">
        <v>30000</v>
      </c>
      <c r="DX182" s="23"/>
      <c r="DY182" s="23"/>
      <c r="DZ182" s="23"/>
      <c r="EA182" s="23"/>
      <c r="EB182" s="23"/>
      <c r="EC182" s="23"/>
      <c r="ED182" s="23"/>
      <c r="EE182" s="23"/>
      <c r="EF182" s="202">
        <v>28000</v>
      </c>
      <c r="EG182" s="202"/>
      <c r="EH182" s="202"/>
      <c r="EI182" s="202"/>
      <c r="EJ182" s="202"/>
      <c r="EK182" s="202"/>
      <c r="EL182" s="202"/>
      <c r="EM182" s="202"/>
      <c r="EN182" s="202"/>
      <c r="EO182" s="202"/>
      <c r="EP182" s="202"/>
      <c r="EQ182" s="45">
        <f>MEDIAN(DW182,EF182)</f>
        <v>29000</v>
      </c>
      <c r="ER182" s="45">
        <f>AVERAGE(DW182,EF182)</f>
        <v>29000</v>
      </c>
      <c r="ES182" s="45">
        <f>+STDEV(DW182,EF182)</f>
        <v>1414.2135623730951</v>
      </c>
      <c r="ET182" s="46">
        <f t="shared" si="50"/>
        <v>4.8765984909417075E-2</v>
      </c>
      <c r="EU182" s="44">
        <f t="shared" si="72"/>
        <v>24369.747899159665</v>
      </c>
      <c r="EV182" s="44">
        <f t="shared" si="73"/>
        <v>4630.2521008403364</v>
      </c>
      <c r="EW182" s="44">
        <f t="shared" si="71"/>
        <v>29000</v>
      </c>
      <c r="EX182" s="103">
        <f t="shared" si="67"/>
        <v>2900000</v>
      </c>
      <c r="EY182" s="26" t="s">
        <v>221</v>
      </c>
    </row>
    <row r="183" spans="1:158" s="98" customFormat="1" ht="13.9" x14ac:dyDescent="0.4">
      <c r="A183" s="239" t="s">
        <v>10</v>
      </c>
      <c r="B183" s="239"/>
      <c r="C183" s="239"/>
      <c r="D183" s="239"/>
      <c r="E183" s="239"/>
      <c r="F183" s="240"/>
      <c r="G183" s="96">
        <f>+SUM(G8:G182)</f>
        <v>23471204</v>
      </c>
      <c r="H183" s="93">
        <f>+SUM(H8:H182)</f>
        <v>3700000</v>
      </c>
      <c r="I183" s="93">
        <f>+SUM(I8:I182)</f>
        <v>3888700</v>
      </c>
      <c r="J183" s="93">
        <f>+SUM(J8:J182)</f>
        <v>4680000</v>
      </c>
      <c r="K183" s="93">
        <f>+SUM(K8:K182)</f>
        <v>4918680</v>
      </c>
      <c r="L183" s="93"/>
      <c r="M183" s="93"/>
      <c r="N183" s="93"/>
      <c r="O183" s="93"/>
      <c r="P183" s="93">
        <f t="shared" ref="P183:AU183" si="74">+SUM(P8:P182)</f>
        <v>5500000</v>
      </c>
      <c r="Q183" s="93">
        <f t="shared" si="74"/>
        <v>2636601</v>
      </c>
      <c r="R183" s="93">
        <f t="shared" si="74"/>
        <v>2771067.6510000001</v>
      </c>
      <c r="S183" s="93">
        <f t="shared" si="74"/>
        <v>2627941</v>
      </c>
      <c r="T183" s="93">
        <f t="shared" si="74"/>
        <v>2761965.9909999999</v>
      </c>
      <c r="U183" s="93">
        <f t="shared" si="74"/>
        <v>165400</v>
      </c>
      <c r="V183" s="93">
        <f t="shared" si="74"/>
        <v>173835</v>
      </c>
      <c r="W183" s="93">
        <f t="shared" si="74"/>
        <v>796000</v>
      </c>
      <c r="X183" s="93">
        <f t="shared" si="74"/>
        <v>836596</v>
      </c>
      <c r="Y183" s="93">
        <f t="shared" si="74"/>
        <v>746000</v>
      </c>
      <c r="Z183" s="93">
        <f t="shared" si="74"/>
        <v>784181</v>
      </c>
      <c r="AA183" s="93">
        <f t="shared" si="74"/>
        <v>738500</v>
      </c>
      <c r="AB183" s="93">
        <f t="shared" si="74"/>
        <v>776166</v>
      </c>
      <c r="AC183" s="93">
        <f t="shared" si="74"/>
        <v>221500</v>
      </c>
      <c r="AD183" s="93">
        <f t="shared" si="74"/>
        <v>232798</v>
      </c>
      <c r="AE183" s="93">
        <f t="shared" si="74"/>
        <v>11235000</v>
      </c>
      <c r="AF183" s="93">
        <f t="shared" si="74"/>
        <v>11807985</v>
      </c>
      <c r="AG183" s="93">
        <f t="shared" si="74"/>
        <v>11360000</v>
      </c>
      <c r="AH183" s="93">
        <f t="shared" si="74"/>
        <v>11939360</v>
      </c>
      <c r="AI183" s="93">
        <f t="shared" si="74"/>
        <v>7800000</v>
      </c>
      <c r="AJ183" s="93">
        <f t="shared" si="74"/>
        <v>8197800</v>
      </c>
      <c r="AK183" s="93">
        <f t="shared" si="74"/>
        <v>6500000</v>
      </c>
      <c r="AL183" s="93">
        <f t="shared" si="74"/>
        <v>6831500</v>
      </c>
      <c r="AM183" s="93">
        <f t="shared" si="74"/>
        <v>11909000</v>
      </c>
      <c r="AN183" s="93">
        <f t="shared" si="74"/>
        <v>11730000</v>
      </c>
      <c r="AO183" s="93">
        <f t="shared" si="74"/>
        <v>6240000</v>
      </c>
      <c r="AP183" s="93">
        <f t="shared" si="74"/>
        <v>6558240</v>
      </c>
      <c r="AQ183" s="93">
        <f t="shared" si="74"/>
        <v>6480000</v>
      </c>
      <c r="AR183" s="93">
        <f t="shared" si="74"/>
        <v>6810480</v>
      </c>
      <c r="AS183" s="93">
        <f t="shared" si="74"/>
        <v>8297824</v>
      </c>
      <c r="AT183" s="93">
        <f t="shared" si="74"/>
        <v>3200000</v>
      </c>
      <c r="AU183" s="93">
        <f t="shared" si="74"/>
        <v>1550000</v>
      </c>
      <c r="AV183" s="93">
        <f t="shared" ref="AV183:CA183" si="75">+SUM(AV8:AV182)</f>
        <v>96000</v>
      </c>
      <c r="AW183" s="93">
        <f t="shared" si="75"/>
        <v>100896</v>
      </c>
      <c r="AX183" s="93">
        <f t="shared" si="75"/>
        <v>0</v>
      </c>
      <c r="AY183" s="93">
        <f t="shared" si="75"/>
        <v>0</v>
      </c>
      <c r="AZ183" s="93">
        <f t="shared" si="75"/>
        <v>192200</v>
      </c>
      <c r="BA183" s="93">
        <f t="shared" si="75"/>
        <v>202002.2</v>
      </c>
      <c r="BB183" s="93">
        <f t="shared" si="75"/>
        <v>214200</v>
      </c>
      <c r="BC183" s="93">
        <f t="shared" si="75"/>
        <v>207500</v>
      </c>
      <c r="BD183" s="93">
        <f t="shared" si="75"/>
        <v>25209</v>
      </c>
      <c r="BE183" s="93">
        <f t="shared" si="75"/>
        <v>26495</v>
      </c>
      <c r="BF183" s="93">
        <f t="shared" si="75"/>
        <v>22870</v>
      </c>
      <c r="BG183" s="93">
        <f t="shared" si="75"/>
        <v>24037</v>
      </c>
      <c r="BH183" s="93">
        <f t="shared" si="75"/>
        <v>20300</v>
      </c>
      <c r="BI183" s="93">
        <f t="shared" si="75"/>
        <v>5840</v>
      </c>
      <c r="BJ183" s="93">
        <f t="shared" si="75"/>
        <v>6138</v>
      </c>
      <c r="BK183" s="93">
        <f t="shared" si="75"/>
        <v>0</v>
      </c>
      <c r="BL183" s="93">
        <f t="shared" si="75"/>
        <v>119000</v>
      </c>
      <c r="BM183" s="93">
        <f t="shared" si="75"/>
        <v>125069</v>
      </c>
      <c r="BN183" s="93">
        <f t="shared" si="75"/>
        <v>135000</v>
      </c>
      <c r="BO183" s="93">
        <f t="shared" si="75"/>
        <v>141885</v>
      </c>
      <c r="BP183" s="93">
        <f t="shared" si="75"/>
        <v>120000</v>
      </c>
      <c r="BQ183" s="93">
        <f t="shared" si="75"/>
        <v>745000</v>
      </c>
      <c r="BR183" s="93">
        <f t="shared" si="75"/>
        <v>4312500</v>
      </c>
      <c r="BS183" s="93">
        <f t="shared" si="75"/>
        <v>1207301</v>
      </c>
      <c r="BT183" s="93">
        <f t="shared" si="75"/>
        <v>1268873.351</v>
      </c>
      <c r="BU183" s="93">
        <f t="shared" si="75"/>
        <v>5200</v>
      </c>
      <c r="BV183" s="93">
        <f t="shared" si="75"/>
        <v>0</v>
      </c>
      <c r="BW183" s="93">
        <f t="shared" si="75"/>
        <v>71200</v>
      </c>
      <c r="BX183" s="93">
        <f t="shared" si="75"/>
        <v>0</v>
      </c>
      <c r="BY183" s="93">
        <f t="shared" si="75"/>
        <v>0</v>
      </c>
      <c r="BZ183" s="93">
        <f t="shared" si="75"/>
        <v>355000</v>
      </c>
      <c r="CA183" s="93">
        <f t="shared" si="75"/>
        <v>374000</v>
      </c>
      <c r="CB183" s="93">
        <f t="shared" ref="CB183:DG183" si="76">+SUM(CB8:CB182)</f>
        <v>535000</v>
      </c>
      <c r="CC183" s="93">
        <f t="shared" si="76"/>
        <v>86900</v>
      </c>
      <c r="CD183" s="93">
        <f t="shared" si="76"/>
        <v>91332</v>
      </c>
      <c r="CE183" s="93">
        <f t="shared" si="76"/>
        <v>90653</v>
      </c>
      <c r="CF183" s="93">
        <f t="shared" si="76"/>
        <v>128700</v>
      </c>
      <c r="CG183" s="93">
        <f t="shared" si="76"/>
        <v>0</v>
      </c>
      <c r="CH183" s="93">
        <f t="shared" si="76"/>
        <v>0</v>
      </c>
      <c r="CI183" s="93">
        <f t="shared" si="76"/>
        <v>0</v>
      </c>
      <c r="CJ183" s="93">
        <f t="shared" si="76"/>
        <v>0</v>
      </c>
      <c r="CK183" s="93">
        <f t="shared" si="76"/>
        <v>0</v>
      </c>
      <c r="CL183" s="93">
        <f t="shared" si="76"/>
        <v>1111880</v>
      </c>
      <c r="CM183" s="93">
        <f t="shared" si="76"/>
        <v>1168585.8799999999</v>
      </c>
      <c r="CN183" s="93">
        <f t="shared" si="76"/>
        <v>313000</v>
      </c>
      <c r="CO183" s="93">
        <f t="shared" si="76"/>
        <v>0</v>
      </c>
      <c r="CP183" s="93">
        <f t="shared" si="76"/>
        <v>0</v>
      </c>
      <c r="CQ183" s="93">
        <f t="shared" si="76"/>
        <v>0</v>
      </c>
      <c r="CR183" s="93">
        <f t="shared" si="76"/>
        <v>4171</v>
      </c>
      <c r="CS183" s="93">
        <f t="shared" si="76"/>
        <v>4384</v>
      </c>
      <c r="CT183" s="93">
        <f t="shared" si="76"/>
        <v>5500</v>
      </c>
      <c r="CU183" s="93">
        <f t="shared" si="76"/>
        <v>5781</v>
      </c>
      <c r="CV183" s="93">
        <f t="shared" si="76"/>
        <v>4300</v>
      </c>
      <c r="CW183" s="93">
        <f t="shared" si="76"/>
        <v>4519</v>
      </c>
      <c r="CX183" s="93">
        <f t="shared" si="76"/>
        <v>150000</v>
      </c>
      <c r="CY183" s="93">
        <f t="shared" si="76"/>
        <v>157650</v>
      </c>
      <c r="CZ183" s="93">
        <f t="shared" si="76"/>
        <v>160000</v>
      </c>
      <c r="DA183" s="93">
        <f t="shared" si="76"/>
        <v>168160</v>
      </c>
      <c r="DB183" s="93">
        <f t="shared" si="76"/>
        <v>158888</v>
      </c>
      <c r="DC183" s="93">
        <f t="shared" si="76"/>
        <v>0</v>
      </c>
      <c r="DD183" s="93">
        <f t="shared" si="76"/>
        <v>0</v>
      </c>
      <c r="DE183" s="93">
        <f t="shared" si="76"/>
        <v>0</v>
      </c>
      <c r="DF183" s="93">
        <f t="shared" si="76"/>
        <v>0</v>
      </c>
      <c r="DG183" s="93">
        <f t="shared" si="76"/>
        <v>2900</v>
      </c>
      <c r="DH183" s="93">
        <f t="shared" ref="DH183:DP183" si="77">+SUM(DH8:DH182)</f>
        <v>2436.9747899159665</v>
      </c>
      <c r="DI183" s="93">
        <f t="shared" si="77"/>
        <v>3314.2857142857147</v>
      </c>
      <c r="DJ183" s="93">
        <f t="shared" si="77"/>
        <v>2731.25</v>
      </c>
      <c r="DK183" s="93">
        <f t="shared" si="77"/>
        <v>18285</v>
      </c>
      <c r="DL183" s="93">
        <f t="shared" si="77"/>
        <v>1207.5</v>
      </c>
      <c r="DM183" s="93">
        <f t="shared" si="77"/>
        <v>18929</v>
      </c>
      <c r="DN183" s="96">
        <f t="shared" si="77"/>
        <v>60130938</v>
      </c>
      <c r="DO183" s="93">
        <f t="shared" si="77"/>
        <v>50953000</v>
      </c>
      <c r="DP183" s="93">
        <f t="shared" si="77"/>
        <v>52828771</v>
      </c>
      <c r="DQ183" s="93"/>
      <c r="DR183" s="93"/>
      <c r="DS183" s="93"/>
      <c r="DT183" s="93"/>
      <c r="DU183" s="93"/>
      <c r="DV183" s="93"/>
      <c r="DW183" s="93"/>
      <c r="DX183" s="93"/>
      <c r="DY183" s="93"/>
      <c r="DZ183" s="93"/>
      <c r="EA183" s="93"/>
      <c r="EB183" s="93"/>
      <c r="EC183" s="93"/>
      <c r="ED183" s="93"/>
      <c r="EE183" s="93"/>
      <c r="EF183" s="93"/>
      <c r="EG183" s="93"/>
      <c r="EH183" s="93"/>
      <c r="EI183" s="93"/>
      <c r="EJ183" s="93"/>
      <c r="EK183" s="93"/>
      <c r="EL183" s="93"/>
      <c r="EM183" s="93"/>
      <c r="EN183" s="93"/>
      <c r="EO183" s="93"/>
      <c r="EP183" s="93"/>
      <c r="EQ183" s="94"/>
      <c r="ER183" s="94"/>
      <c r="ES183" s="94"/>
      <c r="ET183" s="95"/>
      <c r="EU183" s="96"/>
      <c r="EV183" s="96"/>
      <c r="EW183" s="94">
        <f>+SUM(EW8:EW182)</f>
        <v>141121900</v>
      </c>
      <c r="EX183" s="94">
        <f>+SUM(EX8:EX182)</f>
        <v>1076324000</v>
      </c>
      <c r="EY183" s="97"/>
    </row>
    <row r="184" spans="1:158" ht="14.25" thickBot="1" x14ac:dyDescent="0.4">
      <c r="EX184" s="99"/>
    </row>
    <row r="185" spans="1:158" s="100" customFormat="1" ht="88.5" customHeight="1" thickBot="1" x14ac:dyDescent="0.4">
      <c r="A185" s="234" t="s">
        <v>236</v>
      </c>
      <c r="B185" s="235"/>
      <c r="C185" s="235"/>
      <c r="D185" s="235"/>
      <c r="E185" s="235"/>
      <c r="F185" s="235"/>
      <c r="G185" s="235"/>
      <c r="H185" s="235"/>
      <c r="I185" s="235"/>
      <c r="J185" s="235"/>
      <c r="K185" s="235"/>
      <c r="L185" s="235"/>
      <c r="M185" s="235"/>
      <c r="N185" s="235"/>
      <c r="O185" s="235"/>
      <c r="P185" s="235"/>
      <c r="Q185" s="235"/>
      <c r="R185" s="235"/>
      <c r="S185" s="235"/>
      <c r="T185" s="235"/>
      <c r="U185" s="235"/>
      <c r="V185" s="235"/>
      <c r="W185" s="235"/>
      <c r="X185" s="235"/>
      <c r="Y185" s="235"/>
      <c r="Z185" s="235"/>
      <c r="AA185" s="235"/>
      <c r="AB185" s="235"/>
      <c r="AC185" s="235"/>
      <c r="AD185" s="235"/>
      <c r="AE185" s="235"/>
      <c r="AF185" s="235"/>
      <c r="AG185" s="235"/>
      <c r="AH185" s="235"/>
      <c r="AI185" s="235"/>
      <c r="AJ185" s="235"/>
      <c r="AK185" s="235"/>
      <c r="AL185" s="235"/>
      <c r="AM185" s="235"/>
      <c r="AN185" s="235"/>
      <c r="AO185" s="235"/>
      <c r="AP185" s="235"/>
      <c r="AQ185" s="235"/>
      <c r="AR185" s="235"/>
      <c r="AS185" s="235"/>
      <c r="AT185" s="235"/>
      <c r="AU185" s="235"/>
      <c r="AV185" s="235"/>
      <c r="AW185" s="235"/>
      <c r="AX185" s="235"/>
      <c r="AY185" s="235"/>
      <c r="AZ185" s="235"/>
      <c r="BA185" s="235"/>
      <c r="BB185" s="235"/>
      <c r="BC185" s="235"/>
      <c r="BD185" s="235"/>
      <c r="BE185" s="235"/>
      <c r="BF185" s="235"/>
      <c r="BG185" s="235"/>
      <c r="BH185" s="235"/>
      <c r="BI185" s="235"/>
      <c r="BJ185" s="235"/>
      <c r="BK185" s="235"/>
      <c r="BL185" s="235"/>
      <c r="BM185" s="235"/>
      <c r="BN185" s="235"/>
      <c r="BO185" s="235"/>
      <c r="BP185" s="235"/>
      <c r="BQ185" s="235"/>
      <c r="BR185" s="235"/>
      <c r="BS185" s="235"/>
      <c r="BT185" s="235"/>
      <c r="BU185" s="235"/>
      <c r="BV185" s="235"/>
      <c r="BW185" s="235"/>
      <c r="BX185" s="235"/>
      <c r="BY185" s="235"/>
      <c r="BZ185" s="235"/>
      <c r="CA185" s="235"/>
      <c r="CB185" s="235"/>
      <c r="CC185" s="235"/>
      <c r="CD185" s="235"/>
      <c r="CE185" s="235"/>
      <c r="CF185" s="235"/>
      <c r="CG185" s="236"/>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99"/>
      <c r="DK185" s="2"/>
      <c r="DL185" s="2"/>
      <c r="DM185" s="2"/>
      <c r="DN185" s="3"/>
      <c r="DO185" s="2"/>
      <c r="DP185" s="2"/>
      <c r="DQ185" s="2"/>
      <c r="DR185" s="2"/>
      <c r="DS185" s="2"/>
      <c r="DT185" s="2"/>
      <c r="DU185" s="2"/>
      <c r="DV185" s="2"/>
      <c r="DW185" s="2"/>
      <c r="DX185" s="2"/>
      <c r="DY185" s="2"/>
      <c r="DZ185" s="2"/>
      <c r="EA185" s="2"/>
      <c r="EB185" s="2"/>
      <c r="EC185" s="2"/>
      <c r="ED185" s="2"/>
      <c r="EF185" s="2"/>
      <c r="EG185" s="2"/>
      <c r="EH185" s="2"/>
      <c r="EI185" s="2"/>
      <c r="EJ185" s="2"/>
      <c r="EK185" s="2"/>
      <c r="EL185" s="2"/>
      <c r="EM185" s="2"/>
      <c r="EN185" s="2"/>
      <c r="EO185" s="2"/>
      <c r="EP185" s="2"/>
      <c r="EQ185" s="2"/>
      <c r="ER185" s="2"/>
      <c r="ES185" s="2"/>
      <c r="ET185" s="2"/>
      <c r="EU185" s="3"/>
      <c r="EV185" s="2"/>
      <c r="EW185" s="3"/>
      <c r="EX185" s="210"/>
      <c r="EY185" s="101"/>
      <c r="FB185" s="191"/>
    </row>
    <row r="186" spans="1:158" x14ac:dyDescent="0.35">
      <c r="EX186" s="197"/>
    </row>
    <row r="187" spans="1:158" x14ac:dyDescent="0.35">
      <c r="EX187" s="101"/>
      <c r="EY187" s="197"/>
    </row>
    <row r="188" spans="1:158" x14ac:dyDescent="0.35">
      <c r="EX188" s="101"/>
    </row>
  </sheetData>
  <autoFilter ref="A6:C183" xr:uid="{98DE6C25-F18D-43D4-B54C-33B3DC5D3336}"/>
  <mergeCells count="61">
    <mergeCell ref="A146:C146"/>
    <mergeCell ref="A69:F69"/>
    <mergeCell ref="EB6:ED6"/>
    <mergeCell ref="DX6:DY6"/>
    <mergeCell ref="DZ6:EA6"/>
    <mergeCell ref="A41:F41"/>
    <mergeCell ref="L6:M6"/>
    <mergeCell ref="N6:O6"/>
    <mergeCell ref="DG6:DI6"/>
    <mergeCell ref="CL6:CM6"/>
    <mergeCell ref="CP6:CQ6"/>
    <mergeCell ref="CR6:CS6"/>
    <mergeCell ref="CT6:CU6"/>
    <mergeCell ref="CZ6:DA6"/>
    <mergeCell ref="CV6:CW6"/>
    <mergeCell ref="CX6:CY6"/>
    <mergeCell ref="BS6:BT6"/>
    <mergeCell ref="BX6:BY6"/>
    <mergeCell ref="AQ6:AR6"/>
    <mergeCell ref="A3:J3"/>
    <mergeCell ref="G6:G7"/>
    <mergeCell ref="G4:J4"/>
    <mergeCell ref="A4:F5"/>
    <mergeCell ref="Q6:R6"/>
    <mergeCell ref="J6:K6"/>
    <mergeCell ref="H6:I6"/>
    <mergeCell ref="D6:D7"/>
    <mergeCell ref="E6:E7"/>
    <mergeCell ref="F6:F7"/>
    <mergeCell ref="EG6:EI6"/>
    <mergeCell ref="EJ6:EL6"/>
    <mergeCell ref="EM6:EO6"/>
    <mergeCell ref="EU6:EY6"/>
    <mergeCell ref="U6:V6"/>
    <mergeCell ref="W6:X6"/>
    <mergeCell ref="Y6:Z6"/>
    <mergeCell ref="AA6:AB6"/>
    <mergeCell ref="AC6:AD6"/>
    <mergeCell ref="AE6:AF6"/>
    <mergeCell ref="AI6:AJ6"/>
    <mergeCell ref="AG6:AH6"/>
    <mergeCell ref="AK6:AL6"/>
    <mergeCell ref="BD6:BE6"/>
    <mergeCell ref="BF6:BG6"/>
    <mergeCell ref="CI6:CJ6"/>
    <mergeCell ref="A13:F13"/>
    <mergeCell ref="A24:F24"/>
    <mergeCell ref="A111:F111"/>
    <mergeCell ref="A185:CG185"/>
    <mergeCell ref="EQ6:ET6"/>
    <mergeCell ref="A183:F183"/>
    <mergeCell ref="S6:T6"/>
    <mergeCell ref="BI6:BJ6"/>
    <mergeCell ref="AZ6:BA6"/>
    <mergeCell ref="BL6:BM6"/>
    <mergeCell ref="AO6:AP6"/>
    <mergeCell ref="AV6:AW6"/>
    <mergeCell ref="BN6:BO6"/>
    <mergeCell ref="CC6:CD6"/>
    <mergeCell ref="CG6:CH6"/>
    <mergeCell ref="A7:C7"/>
  </mergeCells>
  <phoneticPr fontId="10" type="noConversion"/>
  <conditionalFormatting sqref="B30">
    <cfRule type="duplicateValues" dxfId="0" priority="1"/>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57F81-F7A5-47A9-AC85-5CB8F617054F}">
  <dimension ref="A1:W29"/>
  <sheetViews>
    <sheetView topLeftCell="A2" zoomScale="58" zoomScaleNormal="58" workbookViewId="0">
      <selection activeCell="G8" sqref="G8"/>
    </sheetView>
  </sheetViews>
  <sheetFormatPr baseColWidth="10" defaultColWidth="11.3984375" defaultRowHeight="14.25" x14ac:dyDescent="0.45"/>
  <cols>
    <col min="1" max="1" width="11.3984375" style="151"/>
    <col min="2" max="2" width="17.73046875" style="151" customWidth="1"/>
    <col min="3" max="3" width="105.59765625" style="151" customWidth="1"/>
    <col min="4" max="4" width="11.3984375" style="151"/>
    <col min="5" max="6" width="13.73046875" style="151" customWidth="1"/>
    <col min="7" max="7" width="24.265625" style="187" customWidth="1"/>
    <col min="8" max="8" width="21.73046875" style="188" customWidth="1"/>
    <col min="9" max="9" width="24.265625" style="189" customWidth="1"/>
    <col min="10" max="13" width="24.265625" style="188" customWidth="1"/>
    <col min="14" max="14" width="24.265625" style="187" customWidth="1"/>
    <col min="15" max="18" width="20.86328125" style="151" customWidth="1"/>
    <col min="19" max="20" width="26.1328125" style="151" customWidth="1"/>
    <col min="21" max="21" width="34" style="151" customWidth="1"/>
    <col min="22" max="22" width="20.3984375" style="151" customWidth="1"/>
    <col min="23" max="23" width="49.3984375" style="151" customWidth="1"/>
    <col min="24" max="16384" width="11.3984375" style="151"/>
  </cols>
  <sheetData>
    <row r="1" spans="1:23" x14ac:dyDescent="0.45">
      <c r="A1" s="277" t="s">
        <v>0</v>
      </c>
      <c r="B1" s="278"/>
      <c r="C1" s="278"/>
      <c r="D1" s="278"/>
      <c r="E1" s="278"/>
      <c r="F1" s="278"/>
      <c r="G1" s="278"/>
      <c r="H1" s="278"/>
      <c r="I1" s="278"/>
      <c r="J1" s="278"/>
      <c r="K1" s="278"/>
      <c r="L1" s="278"/>
      <c r="M1" s="278"/>
      <c r="N1" s="278"/>
      <c r="O1" s="278"/>
      <c r="P1" s="278"/>
      <c r="Q1" s="278"/>
      <c r="R1" s="278"/>
      <c r="S1" s="278"/>
      <c r="T1" s="278"/>
      <c r="U1" s="278"/>
      <c r="V1" s="278"/>
      <c r="W1" s="278"/>
    </row>
    <row r="2" spans="1:23" ht="33" customHeight="1" x14ac:dyDescent="0.45">
      <c r="A2" s="254" t="s">
        <v>11</v>
      </c>
      <c r="B2" s="255"/>
      <c r="C2" s="255"/>
      <c r="D2" s="255"/>
      <c r="E2" s="255"/>
      <c r="F2" s="255"/>
      <c r="G2" s="279" t="s">
        <v>317</v>
      </c>
      <c r="H2" s="281" t="s">
        <v>318</v>
      </c>
      <c r="I2" s="283" t="s">
        <v>319</v>
      </c>
      <c r="J2" s="285" t="s">
        <v>320</v>
      </c>
      <c r="K2" s="287" t="s">
        <v>321</v>
      </c>
      <c r="L2" s="285" t="s">
        <v>322</v>
      </c>
      <c r="M2" s="287" t="s">
        <v>323</v>
      </c>
      <c r="N2" s="289" t="s">
        <v>324</v>
      </c>
      <c r="O2" s="267" t="s">
        <v>104</v>
      </c>
      <c r="P2" s="268"/>
      <c r="Q2" s="268"/>
      <c r="R2" s="269"/>
      <c r="S2" s="273" t="s">
        <v>110</v>
      </c>
      <c r="T2" s="273"/>
      <c r="U2" s="273"/>
      <c r="V2" s="273"/>
      <c r="W2" s="273"/>
    </row>
    <row r="3" spans="1:23" ht="33" customHeight="1" x14ac:dyDescent="0.45">
      <c r="A3" s="256"/>
      <c r="B3" s="257"/>
      <c r="C3" s="257"/>
      <c r="D3" s="257"/>
      <c r="E3" s="257"/>
      <c r="F3" s="257"/>
      <c r="G3" s="280"/>
      <c r="H3" s="282"/>
      <c r="I3" s="284"/>
      <c r="J3" s="286"/>
      <c r="K3" s="288"/>
      <c r="L3" s="286"/>
      <c r="M3" s="288"/>
      <c r="N3" s="290"/>
      <c r="O3" s="270"/>
      <c r="P3" s="271"/>
      <c r="Q3" s="271"/>
      <c r="R3" s="272"/>
      <c r="S3" s="273"/>
      <c r="T3" s="273"/>
      <c r="U3" s="273"/>
      <c r="V3" s="273"/>
      <c r="W3" s="273"/>
    </row>
    <row r="4" spans="1:23" ht="28.5" x14ac:dyDescent="0.45">
      <c r="A4" s="152" t="s">
        <v>1</v>
      </c>
      <c r="B4" s="152" t="s">
        <v>2</v>
      </c>
      <c r="C4" s="153" t="s">
        <v>3</v>
      </c>
      <c r="D4" s="154" t="s">
        <v>325</v>
      </c>
      <c r="E4" s="152" t="s">
        <v>326</v>
      </c>
      <c r="F4" s="155" t="s">
        <v>6</v>
      </c>
      <c r="G4" s="156" t="s">
        <v>100</v>
      </c>
      <c r="H4" s="157" t="s">
        <v>100</v>
      </c>
      <c r="I4" s="158" t="s">
        <v>100</v>
      </c>
      <c r="J4" s="157" t="s">
        <v>100</v>
      </c>
      <c r="K4" s="159" t="s">
        <v>100</v>
      </c>
      <c r="L4" s="159" t="s">
        <v>100</v>
      </c>
      <c r="M4" s="159" t="s">
        <v>100</v>
      </c>
      <c r="N4" s="159" t="s">
        <v>100</v>
      </c>
      <c r="O4" s="160" t="s">
        <v>105</v>
      </c>
      <c r="P4" s="160" t="s">
        <v>106</v>
      </c>
      <c r="Q4" s="160" t="s">
        <v>107</v>
      </c>
      <c r="R4" s="161" t="s">
        <v>108</v>
      </c>
      <c r="S4" s="160" t="s">
        <v>367</v>
      </c>
      <c r="T4" s="160" t="s">
        <v>232</v>
      </c>
      <c r="U4" s="162" t="s">
        <v>233</v>
      </c>
      <c r="V4" s="162" t="s">
        <v>234</v>
      </c>
      <c r="W4" s="163" t="s">
        <v>111</v>
      </c>
    </row>
    <row r="5" spans="1:23" ht="57" x14ac:dyDescent="0.45">
      <c r="A5" s="164">
        <v>1</v>
      </c>
      <c r="B5" s="165" t="s">
        <v>327</v>
      </c>
      <c r="C5" s="166" t="s">
        <v>328</v>
      </c>
      <c r="D5" s="164" t="s">
        <v>17</v>
      </c>
      <c r="E5" s="164">
        <v>1</v>
      </c>
      <c r="F5" s="164"/>
      <c r="G5" s="167">
        <v>96000</v>
      </c>
      <c r="H5" s="168">
        <v>66640</v>
      </c>
      <c r="I5" s="169">
        <v>66640</v>
      </c>
      <c r="J5" s="170"/>
      <c r="K5" s="171"/>
      <c r="L5" s="171">
        <v>95200</v>
      </c>
      <c r="M5" s="171"/>
      <c r="N5" s="169"/>
      <c r="O5" s="172">
        <f>MEDIAN(G5,H5,I5,J5,K5,L5)</f>
        <v>80920</v>
      </c>
      <c r="P5" s="172">
        <f>AVERAGE(G5,H5,I5,J5,K5,L5)</f>
        <v>81120</v>
      </c>
      <c r="Q5" s="172">
        <f>+STDEV(G5,H5,I5,J5,K5,L5)</f>
        <v>16723.253272016183</v>
      </c>
      <c r="R5" s="173">
        <f t="shared" ref="R5:R15" si="0">Q5/P5</f>
        <v>0.20615450286016004</v>
      </c>
      <c r="S5" s="190">
        <f>U5/1.19</f>
        <v>68000</v>
      </c>
      <c r="T5" s="190">
        <f>S5*19%</f>
        <v>12920</v>
      </c>
      <c r="U5" s="190">
        <f>+ROUNDUP(IF(R5&lt;15%,P5,O5),0)</f>
        <v>80920</v>
      </c>
      <c r="V5" s="175">
        <f>+U5*E5</f>
        <v>80920</v>
      </c>
      <c r="W5" s="176" t="s">
        <v>219</v>
      </c>
    </row>
    <row r="6" spans="1:23" ht="57" x14ac:dyDescent="0.45">
      <c r="A6" s="164">
        <v>2</v>
      </c>
      <c r="B6" s="165" t="s">
        <v>329</v>
      </c>
      <c r="C6" s="166" t="s">
        <v>330</v>
      </c>
      <c r="D6" s="164" t="s">
        <v>17</v>
      </c>
      <c r="E6" s="164">
        <v>1</v>
      </c>
      <c r="F6" s="164"/>
      <c r="G6" s="167"/>
      <c r="H6" s="168"/>
      <c r="I6" s="177"/>
      <c r="J6" s="171">
        <v>416.5</v>
      </c>
      <c r="K6" s="171">
        <v>379</v>
      </c>
      <c r="L6" s="171">
        <v>238</v>
      </c>
      <c r="M6" s="171"/>
      <c r="N6" s="169"/>
      <c r="O6" s="172">
        <f t="shared" ref="O6:O15" si="1">MEDIAN(G6,H6,I6,J6,K6,L6)</f>
        <v>379</v>
      </c>
      <c r="P6" s="172">
        <f t="shared" ref="P6:P15" si="2">AVERAGE(G6,H6,I6,J6,K6,L6)</f>
        <v>344.5</v>
      </c>
      <c r="Q6" s="172">
        <f t="shared" ref="Q6:Q15" si="3">+STDEV(G6,H6,I6,J6,K6,L6)</f>
        <v>94.118276652305951</v>
      </c>
      <c r="R6" s="173">
        <f t="shared" si="0"/>
        <v>0.27320254470916094</v>
      </c>
      <c r="S6" s="190">
        <f t="shared" ref="S6:S15" si="4">U6/1.19</f>
        <v>318.48739495798321</v>
      </c>
      <c r="T6" s="190">
        <f t="shared" ref="T6:T15" si="5">S6*19%</f>
        <v>60.512605042016808</v>
      </c>
      <c r="U6" s="190">
        <f t="shared" ref="U6:U15" si="6">+ROUNDUP(IF(R6&lt;15%,P6,O6),0)</f>
        <v>379</v>
      </c>
      <c r="V6" s="175">
        <f t="shared" ref="V6:V15" si="7">+U6*E6</f>
        <v>379</v>
      </c>
      <c r="W6" s="176" t="s">
        <v>219</v>
      </c>
    </row>
    <row r="7" spans="1:23" ht="57" x14ac:dyDescent="0.45">
      <c r="A7" s="164">
        <v>3</v>
      </c>
      <c r="B7" s="165" t="s">
        <v>329</v>
      </c>
      <c r="C7" s="166" t="s">
        <v>331</v>
      </c>
      <c r="D7" s="164" t="s">
        <v>17</v>
      </c>
      <c r="E7" s="164">
        <v>1</v>
      </c>
      <c r="F7" s="164"/>
      <c r="G7" s="167"/>
      <c r="H7" s="168"/>
      <c r="I7" s="177"/>
      <c r="J7" s="171">
        <v>642.6</v>
      </c>
      <c r="K7" s="171">
        <v>472</v>
      </c>
      <c r="L7" s="171">
        <v>476</v>
      </c>
      <c r="M7" s="171"/>
      <c r="N7" s="169"/>
      <c r="O7" s="172">
        <f t="shared" si="1"/>
        <v>476</v>
      </c>
      <c r="P7" s="172">
        <f t="shared" si="2"/>
        <v>530.19999999999993</v>
      </c>
      <c r="Q7" s="172">
        <f t="shared" si="3"/>
        <v>97.361799490354571</v>
      </c>
      <c r="R7" s="173">
        <f t="shared" si="0"/>
        <v>0.18363221329753787</v>
      </c>
      <c r="S7" s="190">
        <f t="shared" si="4"/>
        <v>400</v>
      </c>
      <c r="T7" s="190">
        <f t="shared" si="5"/>
        <v>76</v>
      </c>
      <c r="U7" s="190">
        <f t="shared" si="6"/>
        <v>476</v>
      </c>
      <c r="V7" s="175">
        <f t="shared" si="7"/>
        <v>476</v>
      </c>
      <c r="W7" s="176" t="s">
        <v>219</v>
      </c>
    </row>
    <row r="8" spans="1:23" ht="57" x14ac:dyDescent="0.45">
      <c r="A8" s="164">
        <v>4</v>
      </c>
      <c r="B8" s="165" t="s">
        <v>329</v>
      </c>
      <c r="C8" s="166" t="s">
        <v>332</v>
      </c>
      <c r="D8" s="164" t="s">
        <v>17</v>
      </c>
      <c r="E8" s="164">
        <v>1</v>
      </c>
      <c r="F8" s="164"/>
      <c r="G8" s="167"/>
      <c r="H8" s="168"/>
      <c r="I8" s="177"/>
      <c r="J8" s="171"/>
      <c r="K8" s="171">
        <v>644</v>
      </c>
      <c r="L8" s="171">
        <v>773</v>
      </c>
      <c r="M8" s="171"/>
      <c r="N8" s="169"/>
      <c r="O8" s="172">
        <f t="shared" si="1"/>
        <v>708.5</v>
      </c>
      <c r="P8" s="172">
        <f t="shared" si="2"/>
        <v>708.5</v>
      </c>
      <c r="Q8" s="172">
        <f t="shared" si="3"/>
        <v>91.216774773064628</v>
      </c>
      <c r="R8" s="173">
        <f>Q8/P8</f>
        <v>0.12874632995492538</v>
      </c>
      <c r="S8" s="190">
        <f t="shared" si="4"/>
        <v>595.79831932773106</v>
      </c>
      <c r="T8" s="190">
        <f t="shared" si="5"/>
        <v>113.20168067226891</v>
      </c>
      <c r="U8" s="190">
        <f t="shared" si="6"/>
        <v>709</v>
      </c>
      <c r="V8" s="175">
        <f t="shared" si="7"/>
        <v>709</v>
      </c>
      <c r="W8" s="176" t="s">
        <v>315</v>
      </c>
    </row>
    <row r="9" spans="1:23" ht="57" x14ac:dyDescent="0.45">
      <c r="A9" s="164">
        <v>5</v>
      </c>
      <c r="B9" s="165" t="s">
        <v>329</v>
      </c>
      <c r="C9" s="166" t="s">
        <v>333</v>
      </c>
      <c r="D9" s="164" t="s">
        <v>17</v>
      </c>
      <c r="E9" s="164">
        <v>1</v>
      </c>
      <c r="F9" s="164"/>
      <c r="G9" s="167"/>
      <c r="H9" s="168"/>
      <c r="I9" s="177"/>
      <c r="J9" s="171">
        <v>368.9</v>
      </c>
      <c r="K9" s="171">
        <v>404</v>
      </c>
      <c r="L9" s="171" t="s">
        <v>334</v>
      </c>
      <c r="M9" s="171"/>
      <c r="N9" s="169"/>
      <c r="O9" s="172">
        <f t="shared" si="1"/>
        <v>386.45</v>
      </c>
      <c r="P9" s="172">
        <f t="shared" si="2"/>
        <v>386.45</v>
      </c>
      <c r="Q9" s="172">
        <f t="shared" si="3"/>
        <v>24.819448019647833</v>
      </c>
      <c r="R9" s="173">
        <f t="shared" si="0"/>
        <v>6.4224215343893998E-2</v>
      </c>
      <c r="S9" s="190">
        <f t="shared" si="4"/>
        <v>325.21008403361344</v>
      </c>
      <c r="T9" s="190">
        <f t="shared" si="5"/>
        <v>61.789915966386552</v>
      </c>
      <c r="U9" s="190">
        <f t="shared" si="6"/>
        <v>387</v>
      </c>
      <c r="V9" s="175">
        <f t="shared" si="7"/>
        <v>387</v>
      </c>
      <c r="W9" s="176" t="s">
        <v>315</v>
      </c>
    </row>
    <row r="10" spans="1:23" ht="57" x14ac:dyDescent="0.45">
      <c r="A10" s="164">
        <v>6</v>
      </c>
      <c r="B10" s="165" t="s">
        <v>329</v>
      </c>
      <c r="C10" s="166" t="s">
        <v>335</v>
      </c>
      <c r="D10" s="164" t="s">
        <v>17</v>
      </c>
      <c r="E10" s="164">
        <v>1</v>
      </c>
      <c r="F10" s="164"/>
      <c r="G10" s="167"/>
      <c r="H10" s="168"/>
      <c r="I10" s="177"/>
      <c r="J10" s="171">
        <v>618.79999999999995</v>
      </c>
      <c r="K10" s="171">
        <v>523</v>
      </c>
      <c r="L10" s="171" t="s">
        <v>336</v>
      </c>
      <c r="M10" s="171"/>
      <c r="N10" s="169"/>
      <c r="O10" s="172">
        <f t="shared" si="1"/>
        <v>570.9</v>
      </c>
      <c r="P10" s="172">
        <f t="shared" si="2"/>
        <v>570.9</v>
      </c>
      <c r="Q10" s="172">
        <f t="shared" si="3"/>
        <v>67.740829637671226</v>
      </c>
      <c r="R10" s="173">
        <f t="shared" si="0"/>
        <v>0.11865620885911933</v>
      </c>
      <c r="S10" s="190">
        <f t="shared" si="4"/>
        <v>479.83193277310926</v>
      </c>
      <c r="T10" s="190">
        <f t="shared" si="5"/>
        <v>91.168067226890756</v>
      </c>
      <c r="U10" s="190">
        <f t="shared" si="6"/>
        <v>571</v>
      </c>
      <c r="V10" s="175">
        <f t="shared" si="7"/>
        <v>571</v>
      </c>
      <c r="W10" s="176" t="s">
        <v>218</v>
      </c>
    </row>
    <row r="11" spans="1:23" ht="57" x14ac:dyDescent="0.45">
      <c r="A11" s="164">
        <v>7</v>
      </c>
      <c r="B11" s="165" t="s">
        <v>329</v>
      </c>
      <c r="C11" s="166" t="s">
        <v>337</v>
      </c>
      <c r="D11" s="164" t="s">
        <v>17</v>
      </c>
      <c r="E11" s="164">
        <v>1</v>
      </c>
      <c r="F11" s="164"/>
      <c r="G11" s="167"/>
      <c r="H11" s="168"/>
      <c r="I11" s="177"/>
      <c r="J11" s="171">
        <v>1178.0999999999999</v>
      </c>
      <c r="K11" s="171">
        <v>739</v>
      </c>
      <c r="L11" s="171">
        <v>833</v>
      </c>
      <c r="M11" s="171"/>
      <c r="N11" s="169"/>
      <c r="O11" s="172">
        <f t="shared" si="1"/>
        <v>833</v>
      </c>
      <c r="P11" s="172">
        <f t="shared" si="2"/>
        <v>916.69999999999993</v>
      </c>
      <c r="Q11" s="172">
        <f t="shared" si="3"/>
        <v>231.20655267530799</v>
      </c>
      <c r="R11" s="173">
        <f t="shared" si="0"/>
        <v>0.25221615869456532</v>
      </c>
      <c r="S11" s="190">
        <f t="shared" si="4"/>
        <v>700</v>
      </c>
      <c r="T11" s="190">
        <f t="shared" si="5"/>
        <v>133</v>
      </c>
      <c r="U11" s="190">
        <f t="shared" si="6"/>
        <v>833</v>
      </c>
      <c r="V11" s="175">
        <f t="shared" si="7"/>
        <v>833</v>
      </c>
      <c r="W11" s="176" t="s">
        <v>219</v>
      </c>
    </row>
    <row r="12" spans="1:23" ht="57" x14ac:dyDescent="0.45">
      <c r="A12" s="164">
        <v>8</v>
      </c>
      <c r="B12" s="165" t="s">
        <v>329</v>
      </c>
      <c r="C12" s="166" t="s">
        <v>338</v>
      </c>
      <c r="D12" s="164" t="s">
        <v>17</v>
      </c>
      <c r="E12" s="164">
        <v>1</v>
      </c>
      <c r="F12" s="164"/>
      <c r="G12" s="167"/>
      <c r="H12" s="168"/>
      <c r="I12" s="177"/>
      <c r="J12" s="171">
        <v>487.9</v>
      </c>
      <c r="K12" s="171">
        <v>445</v>
      </c>
      <c r="L12" s="171">
        <v>357</v>
      </c>
      <c r="M12" s="171"/>
      <c r="N12" s="169"/>
      <c r="O12" s="172">
        <f t="shared" si="1"/>
        <v>445</v>
      </c>
      <c r="P12" s="172">
        <f t="shared" si="2"/>
        <v>429.9666666666667</v>
      </c>
      <c r="Q12" s="172">
        <f t="shared" si="3"/>
        <v>66.73232599972259</v>
      </c>
      <c r="R12" s="173">
        <f t="shared" si="0"/>
        <v>0.15520348709137743</v>
      </c>
      <c r="S12" s="190">
        <f t="shared" si="4"/>
        <v>373.94957983193279</v>
      </c>
      <c r="T12" s="190">
        <f t="shared" si="5"/>
        <v>71.050420168067234</v>
      </c>
      <c r="U12" s="190">
        <f t="shared" si="6"/>
        <v>445</v>
      </c>
      <c r="V12" s="175">
        <f t="shared" si="7"/>
        <v>445</v>
      </c>
      <c r="W12" s="176" t="s">
        <v>219</v>
      </c>
    </row>
    <row r="13" spans="1:23" ht="57" x14ac:dyDescent="0.45">
      <c r="A13" s="164">
        <v>9</v>
      </c>
      <c r="B13" s="165" t="s">
        <v>329</v>
      </c>
      <c r="C13" s="166" t="s">
        <v>339</v>
      </c>
      <c r="D13" s="164" t="s">
        <v>17</v>
      </c>
      <c r="E13" s="164">
        <v>1</v>
      </c>
      <c r="F13" s="164"/>
      <c r="G13" s="167"/>
      <c r="H13" s="168"/>
      <c r="I13" s="177"/>
      <c r="J13" s="171">
        <v>749.7</v>
      </c>
      <c r="K13" s="171">
        <v>604</v>
      </c>
      <c r="L13" s="171" t="s">
        <v>340</v>
      </c>
      <c r="M13" s="171"/>
      <c r="N13" s="169"/>
      <c r="O13" s="172">
        <f t="shared" si="1"/>
        <v>676.85</v>
      </c>
      <c r="P13" s="172">
        <f t="shared" si="2"/>
        <v>676.85</v>
      </c>
      <c r="Q13" s="172">
        <f t="shared" si="3"/>
        <v>103.02545801887995</v>
      </c>
      <c r="R13" s="173">
        <f t="shared" si="0"/>
        <v>0.15221313144549006</v>
      </c>
      <c r="S13" s="190">
        <f t="shared" si="4"/>
        <v>568.90756302521015</v>
      </c>
      <c r="T13" s="190">
        <f t="shared" si="5"/>
        <v>108.09243697478993</v>
      </c>
      <c r="U13" s="190">
        <f t="shared" si="6"/>
        <v>677</v>
      </c>
      <c r="V13" s="175">
        <f t="shared" si="7"/>
        <v>677</v>
      </c>
      <c r="W13" s="176" t="s">
        <v>219</v>
      </c>
    </row>
    <row r="14" spans="1:23" ht="57" x14ac:dyDescent="0.45">
      <c r="A14" s="164">
        <v>10</v>
      </c>
      <c r="B14" s="165" t="s">
        <v>329</v>
      </c>
      <c r="C14" s="166" t="s">
        <v>341</v>
      </c>
      <c r="D14" s="164" t="s">
        <v>17</v>
      </c>
      <c r="E14" s="164">
        <v>1</v>
      </c>
      <c r="F14" s="164"/>
      <c r="G14" s="167"/>
      <c r="H14" s="168"/>
      <c r="I14" s="177"/>
      <c r="J14" s="171">
        <v>1309</v>
      </c>
      <c r="K14" s="171">
        <v>887</v>
      </c>
      <c r="L14" s="171">
        <v>1071</v>
      </c>
      <c r="M14" s="171"/>
      <c r="N14" s="169"/>
      <c r="O14" s="172">
        <f t="shared" si="1"/>
        <v>1071</v>
      </c>
      <c r="P14" s="172">
        <f t="shared" si="2"/>
        <v>1089</v>
      </c>
      <c r="Q14" s="172">
        <f t="shared" si="3"/>
        <v>211.57504578754083</v>
      </c>
      <c r="R14" s="173">
        <f t="shared" si="0"/>
        <v>0.19428378860196588</v>
      </c>
      <c r="S14" s="190">
        <f t="shared" si="4"/>
        <v>900</v>
      </c>
      <c r="T14" s="190">
        <f t="shared" si="5"/>
        <v>171</v>
      </c>
      <c r="U14" s="190">
        <f t="shared" si="6"/>
        <v>1071</v>
      </c>
      <c r="V14" s="175">
        <f t="shared" si="7"/>
        <v>1071</v>
      </c>
      <c r="W14" s="176" t="s">
        <v>219</v>
      </c>
    </row>
    <row r="15" spans="1:23" ht="42.75" x14ac:dyDescent="0.45">
      <c r="A15" s="164">
        <v>11</v>
      </c>
      <c r="B15" s="165" t="s">
        <v>342</v>
      </c>
      <c r="C15" s="166" t="s">
        <v>343</v>
      </c>
      <c r="D15" s="164" t="s">
        <v>17</v>
      </c>
      <c r="E15" s="164">
        <v>1</v>
      </c>
      <c r="F15" s="164"/>
      <c r="G15" s="178"/>
      <c r="H15" s="168"/>
      <c r="I15" s="177"/>
      <c r="J15" s="171">
        <v>380</v>
      </c>
      <c r="K15" s="171">
        <v>345</v>
      </c>
      <c r="L15" s="171" t="s">
        <v>344</v>
      </c>
      <c r="M15" s="171"/>
      <c r="N15" s="169"/>
      <c r="O15" s="172">
        <f t="shared" si="1"/>
        <v>362.5</v>
      </c>
      <c r="P15" s="172">
        <f t="shared" si="2"/>
        <v>362.5</v>
      </c>
      <c r="Q15" s="172">
        <f t="shared" si="3"/>
        <v>24.748737341529164</v>
      </c>
      <c r="R15" s="173">
        <f t="shared" si="0"/>
        <v>6.8272378873183895E-2</v>
      </c>
      <c r="S15" s="190">
        <f t="shared" si="4"/>
        <v>305.0420168067227</v>
      </c>
      <c r="T15" s="190">
        <f t="shared" si="5"/>
        <v>57.957983193277315</v>
      </c>
      <c r="U15" s="190">
        <f t="shared" si="6"/>
        <v>363</v>
      </c>
      <c r="V15" s="175">
        <f t="shared" si="7"/>
        <v>363</v>
      </c>
      <c r="W15" s="176" t="s">
        <v>218</v>
      </c>
    </row>
    <row r="16" spans="1:23" ht="144.75" customHeight="1" x14ac:dyDescent="0.45">
      <c r="A16" s="164">
        <v>12</v>
      </c>
      <c r="B16" s="165" t="s">
        <v>345</v>
      </c>
      <c r="C16" s="166" t="s">
        <v>346</v>
      </c>
      <c r="D16" s="164" t="s">
        <v>17</v>
      </c>
      <c r="E16" s="179">
        <v>1</v>
      </c>
      <c r="F16" s="179"/>
      <c r="G16" s="178"/>
      <c r="H16" s="168"/>
      <c r="I16" s="177"/>
      <c r="J16" s="171"/>
      <c r="K16" s="171"/>
      <c r="L16" s="171"/>
      <c r="M16" s="171"/>
      <c r="N16" s="180">
        <v>6741476</v>
      </c>
      <c r="O16" s="172"/>
      <c r="P16" s="172"/>
      <c r="Q16" s="172"/>
      <c r="R16" s="173"/>
      <c r="S16" s="47">
        <f>+U16/1.19</f>
        <v>5665105.8823529417</v>
      </c>
      <c r="T16" s="47">
        <f>+(U16*19%)</f>
        <v>1280880.44</v>
      </c>
      <c r="U16" s="174">
        <f>+N16</f>
        <v>6741476</v>
      </c>
      <c r="V16" s="175">
        <f>+N16</f>
        <v>6741476</v>
      </c>
      <c r="W16" s="176" t="s">
        <v>347</v>
      </c>
    </row>
    <row r="17" spans="1:23" ht="148.5" customHeight="1" x14ac:dyDescent="0.45">
      <c r="A17" s="164">
        <v>13</v>
      </c>
      <c r="B17" s="165" t="s">
        <v>345</v>
      </c>
      <c r="C17" s="166" t="s">
        <v>348</v>
      </c>
      <c r="D17" s="164" t="s">
        <v>17</v>
      </c>
      <c r="E17" s="179">
        <v>1</v>
      </c>
      <c r="F17" s="179"/>
      <c r="G17" s="178"/>
      <c r="H17" s="168"/>
      <c r="I17" s="177"/>
      <c r="J17" s="171"/>
      <c r="K17" s="171"/>
      <c r="L17" s="171"/>
      <c r="M17" s="171"/>
      <c r="N17" s="180">
        <v>8763918</v>
      </c>
      <c r="O17" s="172"/>
      <c r="P17" s="172"/>
      <c r="Q17" s="172"/>
      <c r="R17" s="173"/>
      <c r="S17" s="47">
        <f t="shared" ref="S17:S26" si="8">+U17/1.19</f>
        <v>7364636.9747899165</v>
      </c>
      <c r="T17" s="47">
        <f t="shared" ref="T17:T26" si="9">+(U17*19%)</f>
        <v>1665144.42</v>
      </c>
      <c r="U17" s="174">
        <f t="shared" ref="U17:U19" si="10">+N17</f>
        <v>8763918</v>
      </c>
      <c r="V17" s="175">
        <f>+N17</f>
        <v>8763918</v>
      </c>
      <c r="W17" s="176" t="s">
        <v>347</v>
      </c>
    </row>
    <row r="18" spans="1:23" ht="99.75" x14ac:dyDescent="0.45">
      <c r="A18" s="164">
        <v>14</v>
      </c>
      <c r="B18" s="165" t="s">
        <v>345</v>
      </c>
      <c r="C18" s="166" t="s">
        <v>349</v>
      </c>
      <c r="D18" s="164" t="s">
        <v>17</v>
      </c>
      <c r="E18" s="179">
        <v>1</v>
      </c>
      <c r="F18" s="179"/>
      <c r="G18" s="178"/>
      <c r="H18" s="168"/>
      <c r="I18" s="177"/>
      <c r="J18" s="171"/>
      <c r="K18" s="171"/>
      <c r="L18" s="171"/>
      <c r="M18" s="171"/>
      <c r="N18" s="180">
        <v>4654745</v>
      </c>
      <c r="O18" s="172"/>
      <c r="P18" s="172"/>
      <c r="Q18" s="172"/>
      <c r="R18" s="173"/>
      <c r="S18" s="47">
        <f>+U18/1.19</f>
        <v>3911550.4201680673</v>
      </c>
      <c r="T18" s="47">
        <f>+(U18*19%)</f>
        <v>884401.55</v>
      </c>
      <c r="U18" s="174">
        <f t="shared" si="10"/>
        <v>4654745</v>
      </c>
      <c r="V18" s="175">
        <f>+N18</f>
        <v>4654745</v>
      </c>
      <c r="W18" s="176" t="s">
        <v>347</v>
      </c>
    </row>
    <row r="19" spans="1:23" ht="99.75" x14ac:dyDescent="0.45">
      <c r="A19" s="164">
        <v>15</v>
      </c>
      <c r="B19" s="165" t="s">
        <v>345</v>
      </c>
      <c r="C19" s="166" t="s">
        <v>350</v>
      </c>
      <c r="D19" s="164" t="s">
        <v>17</v>
      </c>
      <c r="E19" s="179">
        <v>1</v>
      </c>
      <c r="F19" s="179"/>
      <c r="G19" s="178"/>
      <c r="H19" s="168"/>
      <c r="I19" s="177"/>
      <c r="J19" s="171"/>
      <c r="K19" s="171"/>
      <c r="L19" s="171"/>
      <c r="M19" s="171"/>
      <c r="N19" s="180">
        <v>2921306</v>
      </c>
      <c r="O19" s="172"/>
      <c r="P19" s="172"/>
      <c r="Q19" s="172"/>
      <c r="R19" s="173"/>
      <c r="S19" s="47">
        <f t="shared" si="8"/>
        <v>2454878.9915966387</v>
      </c>
      <c r="T19" s="47">
        <f t="shared" si="9"/>
        <v>555048.14</v>
      </c>
      <c r="U19" s="174">
        <f t="shared" si="10"/>
        <v>2921306</v>
      </c>
      <c r="V19" s="175">
        <f>+N19</f>
        <v>2921306</v>
      </c>
      <c r="W19" s="176" t="s">
        <v>347</v>
      </c>
    </row>
    <row r="20" spans="1:23" ht="99.75" x14ac:dyDescent="0.45">
      <c r="A20" s="164">
        <v>16</v>
      </c>
      <c r="B20" s="165" t="s">
        <v>345</v>
      </c>
      <c r="C20" s="166" t="s">
        <v>351</v>
      </c>
      <c r="D20" s="164" t="s">
        <v>17</v>
      </c>
      <c r="E20" s="179">
        <v>1</v>
      </c>
      <c r="F20" s="179"/>
      <c r="G20" s="178"/>
      <c r="H20" s="168"/>
      <c r="I20" s="177"/>
      <c r="J20" s="171"/>
      <c r="K20" s="171"/>
      <c r="L20" s="171"/>
      <c r="M20" s="171"/>
      <c r="N20" s="180">
        <v>2693083</v>
      </c>
      <c r="O20" s="172"/>
      <c r="P20" s="172"/>
      <c r="Q20" s="172"/>
      <c r="R20" s="173"/>
      <c r="S20" s="47">
        <f t="shared" si="8"/>
        <v>2263094.9579831935</v>
      </c>
      <c r="T20" s="47">
        <f t="shared" si="9"/>
        <v>511685.77</v>
      </c>
      <c r="U20" s="174">
        <f>+N20</f>
        <v>2693083</v>
      </c>
      <c r="V20" s="175">
        <f>+N20</f>
        <v>2693083</v>
      </c>
      <c r="W20" s="176" t="s">
        <v>347</v>
      </c>
    </row>
    <row r="21" spans="1:23" ht="90" customHeight="1" x14ac:dyDescent="0.45">
      <c r="A21" s="164">
        <v>17</v>
      </c>
      <c r="B21" s="165" t="s">
        <v>352</v>
      </c>
      <c r="C21" s="166" t="s">
        <v>353</v>
      </c>
      <c r="D21" s="164" t="s">
        <v>24</v>
      </c>
      <c r="E21" s="179">
        <v>1</v>
      </c>
      <c r="F21" s="179"/>
      <c r="G21" s="178"/>
      <c r="H21" s="168"/>
      <c r="I21" s="169"/>
      <c r="J21" s="171"/>
      <c r="K21" s="171"/>
      <c r="L21" s="171"/>
      <c r="M21" s="171">
        <v>88000</v>
      </c>
      <c r="N21" s="169"/>
      <c r="O21" s="172"/>
      <c r="P21" s="172"/>
      <c r="Q21" s="172"/>
      <c r="R21" s="173"/>
      <c r="S21" s="47">
        <f t="shared" si="8"/>
        <v>73949.579831932773</v>
      </c>
      <c r="T21" s="47">
        <f t="shared" si="9"/>
        <v>16720</v>
      </c>
      <c r="U21" s="174">
        <f>M21</f>
        <v>88000</v>
      </c>
      <c r="V21" s="175">
        <f>+M21</f>
        <v>88000</v>
      </c>
      <c r="W21" s="176" t="s">
        <v>354</v>
      </c>
    </row>
    <row r="22" spans="1:23" ht="57" x14ac:dyDescent="0.45">
      <c r="A22" s="164">
        <v>18</v>
      </c>
      <c r="B22" s="165" t="s">
        <v>355</v>
      </c>
      <c r="C22" s="166" t="s">
        <v>356</v>
      </c>
      <c r="D22" s="164" t="s">
        <v>24</v>
      </c>
      <c r="E22" s="179">
        <v>1</v>
      </c>
      <c r="F22" s="179"/>
      <c r="G22" s="178"/>
      <c r="H22" s="181"/>
      <c r="I22" s="169"/>
      <c r="J22" s="171"/>
      <c r="K22" s="171"/>
      <c r="L22" s="171"/>
      <c r="M22" s="171">
        <v>66000</v>
      </c>
      <c r="N22" s="169"/>
      <c r="O22" s="172"/>
      <c r="P22" s="172"/>
      <c r="Q22" s="172"/>
      <c r="R22" s="173"/>
      <c r="S22" s="47">
        <f t="shared" si="8"/>
        <v>55462.184873949584</v>
      </c>
      <c r="T22" s="47">
        <f t="shared" si="9"/>
        <v>12540</v>
      </c>
      <c r="U22" s="174">
        <f t="shared" ref="U22:U24" si="11">M22</f>
        <v>66000</v>
      </c>
      <c r="V22" s="175">
        <f>+M22</f>
        <v>66000</v>
      </c>
      <c r="W22" s="176" t="s">
        <v>357</v>
      </c>
    </row>
    <row r="23" spans="1:23" ht="83.25" customHeight="1" x14ac:dyDescent="0.45">
      <c r="A23" s="164">
        <v>19</v>
      </c>
      <c r="B23" s="165" t="s">
        <v>352</v>
      </c>
      <c r="C23" s="166" t="s">
        <v>358</v>
      </c>
      <c r="D23" s="164" t="s">
        <v>24</v>
      </c>
      <c r="E23" s="179">
        <v>1</v>
      </c>
      <c r="F23" s="179"/>
      <c r="G23" s="178"/>
      <c r="H23" s="181"/>
      <c r="I23" s="169"/>
      <c r="J23" s="171"/>
      <c r="K23" s="171"/>
      <c r="L23" s="171"/>
      <c r="M23" s="171">
        <v>53000</v>
      </c>
      <c r="N23" s="169"/>
      <c r="O23" s="172"/>
      <c r="P23" s="172"/>
      <c r="Q23" s="172"/>
      <c r="R23" s="173"/>
      <c r="S23" s="47">
        <f t="shared" si="8"/>
        <v>44537.815126050424</v>
      </c>
      <c r="T23" s="47">
        <f t="shared" si="9"/>
        <v>10070</v>
      </c>
      <c r="U23" s="174">
        <f t="shared" si="11"/>
        <v>53000</v>
      </c>
      <c r="V23" s="175">
        <f>+M23</f>
        <v>53000</v>
      </c>
      <c r="W23" s="176" t="s">
        <v>357</v>
      </c>
    </row>
    <row r="24" spans="1:23" ht="83.25" customHeight="1" x14ac:dyDescent="0.45">
      <c r="A24" s="164">
        <v>20</v>
      </c>
      <c r="B24" s="165" t="s">
        <v>359</v>
      </c>
      <c r="C24" s="166" t="s">
        <v>360</v>
      </c>
      <c r="D24" s="164" t="s">
        <v>24</v>
      </c>
      <c r="E24" s="179">
        <v>1</v>
      </c>
      <c r="F24" s="179"/>
      <c r="G24" s="178"/>
      <c r="H24" s="181"/>
      <c r="I24" s="169"/>
      <c r="J24" s="171"/>
      <c r="K24" s="171"/>
      <c r="L24" s="171"/>
      <c r="M24" s="171">
        <v>200000</v>
      </c>
      <c r="N24" s="169"/>
      <c r="O24" s="172"/>
      <c r="P24" s="172"/>
      <c r="Q24" s="172"/>
      <c r="R24" s="173"/>
      <c r="S24" s="47">
        <f t="shared" si="8"/>
        <v>168067.22689075631</v>
      </c>
      <c r="T24" s="47">
        <f t="shared" si="9"/>
        <v>38000</v>
      </c>
      <c r="U24" s="174">
        <f t="shared" si="11"/>
        <v>200000</v>
      </c>
      <c r="V24" s="175">
        <f>+M24</f>
        <v>200000</v>
      </c>
      <c r="W24" s="176" t="s">
        <v>357</v>
      </c>
    </row>
    <row r="25" spans="1:23" ht="57" x14ac:dyDescent="0.45">
      <c r="A25" s="164">
        <v>21</v>
      </c>
      <c r="B25" s="165" t="s">
        <v>359</v>
      </c>
      <c r="C25" s="166" t="s">
        <v>361</v>
      </c>
      <c r="D25" s="164" t="s">
        <v>24</v>
      </c>
      <c r="E25" s="164">
        <v>1</v>
      </c>
      <c r="F25" s="164" t="s">
        <v>362</v>
      </c>
      <c r="G25" s="182"/>
      <c r="H25" s="132">
        <v>900000</v>
      </c>
      <c r="I25" s="183"/>
      <c r="J25" s="184"/>
      <c r="K25" s="184"/>
      <c r="L25" s="184"/>
      <c r="M25" s="184"/>
      <c r="N25" s="132"/>
      <c r="O25" s="172"/>
      <c r="P25" s="172"/>
      <c r="Q25" s="172"/>
      <c r="R25" s="173"/>
      <c r="S25" s="47">
        <f t="shared" si="8"/>
        <v>756302.52100840339</v>
      </c>
      <c r="T25" s="47">
        <f t="shared" si="9"/>
        <v>171000</v>
      </c>
      <c r="U25" s="174">
        <f>+H25</f>
        <v>900000</v>
      </c>
      <c r="V25" s="175">
        <f>+H25</f>
        <v>900000</v>
      </c>
      <c r="W25" s="185" t="s">
        <v>363</v>
      </c>
    </row>
    <row r="26" spans="1:23" ht="57" x14ac:dyDescent="0.45">
      <c r="A26" s="164">
        <v>22</v>
      </c>
      <c r="B26" s="165" t="s">
        <v>359</v>
      </c>
      <c r="C26" s="166" t="s">
        <v>364</v>
      </c>
      <c r="D26" s="164" t="s">
        <v>24</v>
      </c>
      <c r="E26" s="164">
        <v>1</v>
      </c>
      <c r="F26" s="164" t="s">
        <v>365</v>
      </c>
      <c r="G26" s="182"/>
      <c r="H26" s="132">
        <v>1134000</v>
      </c>
      <c r="I26" s="183"/>
      <c r="J26" s="184"/>
      <c r="K26" s="184"/>
      <c r="L26" s="184"/>
      <c r="M26" s="184"/>
      <c r="N26" s="132"/>
      <c r="O26" s="172"/>
      <c r="P26" s="172"/>
      <c r="Q26" s="172"/>
      <c r="R26" s="173"/>
      <c r="S26" s="47">
        <f t="shared" si="8"/>
        <v>952941.17647058831</v>
      </c>
      <c r="T26" s="47">
        <f t="shared" si="9"/>
        <v>215460</v>
      </c>
      <c r="U26" s="174">
        <f>+H26</f>
        <v>1134000</v>
      </c>
      <c r="V26" s="175">
        <f>+H26</f>
        <v>1134000</v>
      </c>
      <c r="W26" s="185" t="s">
        <v>363</v>
      </c>
    </row>
    <row r="27" spans="1:23" x14ac:dyDescent="0.45">
      <c r="A27" s="274" t="s">
        <v>10</v>
      </c>
      <c r="B27" s="275"/>
      <c r="C27" s="275"/>
      <c r="D27" s="275"/>
      <c r="E27" s="192"/>
      <c r="F27" s="192"/>
      <c r="G27" s="193">
        <f t="shared" ref="G27:M27" si="12">+SUM(G5:G26)</f>
        <v>96000</v>
      </c>
      <c r="H27" s="193">
        <f t="shared" si="12"/>
        <v>2100640</v>
      </c>
      <c r="I27" s="193">
        <f t="shared" si="12"/>
        <v>66640</v>
      </c>
      <c r="J27" s="193">
        <f t="shared" si="12"/>
        <v>6151.5</v>
      </c>
      <c r="K27" s="193">
        <f t="shared" si="12"/>
        <v>5442</v>
      </c>
      <c r="L27" s="193">
        <f t="shared" si="12"/>
        <v>98948</v>
      </c>
      <c r="M27" s="193">
        <f t="shared" si="12"/>
        <v>407000</v>
      </c>
      <c r="N27" s="193">
        <f>+SUM(N5:N26)</f>
        <v>25774528</v>
      </c>
      <c r="O27" s="194"/>
      <c r="P27" s="194"/>
      <c r="Q27" s="194"/>
      <c r="R27" s="195"/>
      <c r="S27" s="195"/>
      <c r="T27" s="195"/>
      <c r="U27" s="196"/>
      <c r="V27" s="195">
        <f>SUM(V5:V26)</f>
        <v>28302359</v>
      </c>
      <c r="W27" s="195"/>
    </row>
    <row r="29" spans="1:23" x14ac:dyDescent="0.45">
      <c r="A29" s="276"/>
      <c r="B29" s="276"/>
      <c r="C29" s="276"/>
      <c r="D29" s="276"/>
      <c r="E29" s="276"/>
      <c r="F29" s="186"/>
    </row>
  </sheetData>
  <mergeCells count="14">
    <mergeCell ref="O2:R3"/>
    <mergeCell ref="S2:W3"/>
    <mergeCell ref="A27:D27"/>
    <mergeCell ref="A29:E29"/>
    <mergeCell ref="A1:W1"/>
    <mergeCell ref="G2:G3"/>
    <mergeCell ref="H2:H3"/>
    <mergeCell ref="I2:I3"/>
    <mergeCell ref="J2:J3"/>
    <mergeCell ref="K2:K3"/>
    <mergeCell ref="L2:L3"/>
    <mergeCell ref="M2:M3"/>
    <mergeCell ref="N2:N3"/>
    <mergeCell ref="A2: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BOLSA DIFUSION Y COMUNICACION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EDUARDO BRAVO  MARIÑO</dc:creator>
  <cp:lastModifiedBy>LUIS EDUARDO BRAVO  MARIÑO</cp:lastModifiedBy>
  <dcterms:created xsi:type="dcterms:W3CDTF">2026-01-26T22:55:40Z</dcterms:created>
  <dcterms:modified xsi:type="dcterms:W3CDTF">2026-10-13T20:29:33Z</dcterms:modified>
</cp:coreProperties>
</file>