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PISBA 2026\CONTRATACION\MENOR CUANTIA\4. ALUMBRADO PUBLCIO\"/>
    </mc:Choice>
  </mc:AlternateContent>
  <xr:revisionPtr revIDLastSave="0" documentId="13_ncr:1_{9CD0495E-FBE6-4069-A1F3-8D4038DEF163}" xr6:coauthVersionLast="47" xr6:coauthVersionMax="47" xr10:uidLastSave="{00000000-0000-0000-0000-000000000000}"/>
  <bookViews>
    <workbookView xWindow="28680" yWindow="-120" windowWidth="24240" windowHeight="13020" firstSheet="1" activeTab="1" xr2:uid="{A5E9ED40-8A99-4DFE-891A-2A4172F8D74B}"/>
  </bookViews>
  <sheets>
    <sheet name="Presupuesto" sheetId="1" state="hidden" r:id="rId1"/>
    <sheet name="PRESUPUESTO DIVIDIDO" sheetId="17" r:id="rId2"/>
    <sheet name="Apu 1.01" sheetId="11" r:id="rId3"/>
    <sheet name="Apu 2.01" sheetId="12" r:id="rId4"/>
    <sheet name="Apu 2.02" sheetId="13" r:id="rId5"/>
    <sheet name="Apu 2.03" sheetId="14" r:id="rId6"/>
    <sheet name="Apu 2.04" sheetId="15" r:id="rId7"/>
    <sheet name="Apu 2.05" sheetId="16" r:id="rId8"/>
    <sheet name="2,01" sheetId="10" r:id="rId9"/>
  </sheets>
  <externalReferences>
    <externalReference r:id="rId10"/>
  </externalReferences>
  <definedNames>
    <definedName name="_xlnm.Print_Area" localSheetId="2">'Apu 1.01'!$A$1:$L$11056</definedName>
    <definedName name="_xlnm.Print_Area" localSheetId="3">'Apu 2.01'!$A$1:$L$11056</definedName>
    <definedName name="_xlnm.Print_Area" localSheetId="4">'Apu 2.02'!$A$1:$L$11063</definedName>
    <definedName name="_xlnm.Print_Area" localSheetId="5">'Apu 2.03'!$A$1:$L$11063</definedName>
    <definedName name="_xlnm.Print_Area" localSheetId="6">'Apu 2.04'!$A$1:$L$11056</definedName>
    <definedName name="_xlnm.Print_Area" localSheetId="7">'Apu 2.05'!$A$1:$L$11056</definedName>
    <definedName name="_xlnm.Print_Area" localSheetId="0">Presupuesto!$A$1:$I$32</definedName>
    <definedName name="VALOR_APU" localSheetId="2">'Apu 1.01'!$J$53</definedName>
    <definedName name="VALOR_APU" localSheetId="3">'Apu 2.01'!$J$53</definedName>
    <definedName name="VALOR_APU" localSheetId="4">'Apu 2.02'!$J$53</definedName>
    <definedName name="VALOR_APU" localSheetId="5">'Apu 2.03'!$J$53</definedName>
    <definedName name="VALOR_APU" localSheetId="6">'Apu 2.04'!$J$53</definedName>
    <definedName name="VALOR_APU" localSheetId="7">'Apu 2.05'!$J$53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7" l="1"/>
  <c r="J13" i="17"/>
  <c r="N35" i="17"/>
  <c r="I26" i="17"/>
  <c r="I25" i="17"/>
  <c r="I24" i="17"/>
  <c r="I20" i="17"/>
  <c r="I19" i="17"/>
  <c r="I18" i="17"/>
  <c r="I17" i="17"/>
  <c r="I13" i="17"/>
  <c r="J35" i="17" s="1"/>
  <c r="G16" i="1"/>
  <c r="H16" i="1"/>
  <c r="J26" i="17"/>
  <c r="J25" i="17"/>
  <c r="J24" i="17"/>
  <c r="J20" i="17"/>
  <c r="J19" i="17"/>
  <c r="J18" i="17"/>
  <c r="M30" i="17"/>
  <c r="M27" i="17"/>
  <c r="M14" i="17"/>
  <c r="M15" i="17"/>
  <c r="M16" i="17"/>
  <c r="M21" i="17"/>
  <c r="M22" i="17"/>
  <c r="M23" i="17"/>
  <c r="F25" i="17"/>
  <c r="F26" i="17"/>
  <c r="H26" i="17" s="1"/>
  <c r="F24" i="17"/>
  <c r="F20" i="17"/>
  <c r="F19" i="17"/>
  <c r="F18" i="17"/>
  <c r="F17" i="17"/>
  <c r="F13" i="17"/>
  <c r="D16" i="16"/>
  <c r="J20" i="14"/>
  <c r="B69" i="14"/>
  <c r="J74" i="14"/>
  <c r="J39" i="16"/>
  <c r="J38" i="16"/>
  <c r="J37" i="16"/>
  <c r="J32" i="16"/>
  <c r="J26" i="16"/>
  <c r="J23" i="16"/>
  <c r="P22" i="16"/>
  <c r="J20" i="16"/>
  <c r="J27" i="16" s="1"/>
  <c r="D16" i="15"/>
  <c r="J39" i="15"/>
  <c r="J38" i="15"/>
  <c r="J37" i="15"/>
  <c r="J41" i="15" s="1"/>
  <c r="J32" i="15"/>
  <c r="J31" i="15"/>
  <c r="J26" i="15"/>
  <c r="J23" i="15"/>
  <c r="P22" i="15"/>
  <c r="J22" i="15"/>
  <c r="J21" i="15"/>
  <c r="J20" i="15"/>
  <c r="J21" i="14"/>
  <c r="D16" i="14"/>
  <c r="J39" i="14"/>
  <c r="J38" i="14"/>
  <c r="J37" i="14"/>
  <c r="J41" i="14" s="1"/>
  <c r="J32" i="14"/>
  <c r="J31" i="14"/>
  <c r="J33" i="14" s="1"/>
  <c r="J26" i="14"/>
  <c r="J23" i="14"/>
  <c r="P22" i="14"/>
  <c r="J22" i="14"/>
  <c r="J37" i="11"/>
  <c r="J37" i="13"/>
  <c r="J37" i="12"/>
  <c r="B70" i="13"/>
  <c r="J20" i="13"/>
  <c r="J75" i="13"/>
  <c r="J15" i="12"/>
  <c r="E15" i="12"/>
  <c r="J15" i="11"/>
  <c r="E15" i="11"/>
  <c r="D16" i="13"/>
  <c r="J39" i="13"/>
  <c r="J38" i="13"/>
  <c r="J32" i="13"/>
  <c r="J31" i="13"/>
  <c r="J26" i="13"/>
  <c r="J23" i="13"/>
  <c r="P22" i="13"/>
  <c r="J22" i="13"/>
  <c r="J20" i="12"/>
  <c r="D16" i="12"/>
  <c r="J39" i="12"/>
  <c r="J38" i="12"/>
  <c r="J32" i="12"/>
  <c r="J31" i="12"/>
  <c r="J26" i="12"/>
  <c r="J23" i="12"/>
  <c r="P22" i="12"/>
  <c r="J22" i="12"/>
  <c r="D16" i="11"/>
  <c r="J39" i="11"/>
  <c r="J38" i="11"/>
  <c r="J32" i="11"/>
  <c r="J26" i="11"/>
  <c r="J23" i="11"/>
  <c r="P22" i="11"/>
  <c r="J22" i="11"/>
  <c r="E24" i="10"/>
  <c r="E25" i="10" s="1"/>
  <c r="E21" i="10"/>
  <c r="E20" i="10"/>
  <c r="E22" i="10" s="1"/>
  <c r="E17" i="10"/>
  <c r="E18" i="10" s="1"/>
  <c r="E13" i="10"/>
  <c r="E15" i="10" s="1"/>
  <c r="E9" i="10"/>
  <c r="D9" i="10"/>
  <c r="E8" i="10"/>
  <c r="M25" i="17" l="1"/>
  <c r="H25" i="17"/>
  <c r="M26" i="17"/>
  <c r="M24" i="17"/>
  <c r="H24" i="17"/>
  <c r="J27" i="17" s="1"/>
  <c r="H20" i="17"/>
  <c r="M20" i="17"/>
  <c r="H19" i="17"/>
  <c r="M19" i="17"/>
  <c r="M18" i="17"/>
  <c r="H18" i="17"/>
  <c r="H17" i="17"/>
  <c r="M17" i="17"/>
  <c r="H13" i="17"/>
  <c r="J14" i="17" s="1"/>
  <c r="M13" i="17"/>
  <c r="J27" i="13"/>
  <c r="J41" i="16"/>
  <c r="H31" i="16"/>
  <c r="J31" i="16" s="1"/>
  <c r="J33" i="16" s="1"/>
  <c r="E15" i="16"/>
  <c r="J15" i="16"/>
  <c r="J33" i="15"/>
  <c r="J27" i="15"/>
  <c r="E15" i="15"/>
  <c r="J15" i="15"/>
  <c r="J27" i="14"/>
  <c r="J43" i="14" s="1"/>
  <c r="J15" i="14"/>
  <c r="E15" i="14"/>
  <c r="J41" i="11"/>
  <c r="J31" i="11" s="1"/>
  <c r="J41" i="13"/>
  <c r="J41" i="12"/>
  <c r="J33" i="13"/>
  <c r="E15" i="13"/>
  <c r="J15" i="13"/>
  <c r="J33" i="12"/>
  <c r="J27" i="12"/>
  <c r="J33" i="11"/>
  <c r="J27" i="11"/>
  <c r="E27" i="10"/>
  <c r="J21" i="17" l="1"/>
  <c r="J29" i="17" s="1"/>
  <c r="J43" i="13"/>
  <c r="J43" i="16"/>
  <c r="J43" i="15"/>
  <c r="J50" i="14"/>
  <c r="J45" i="14"/>
  <c r="J46" i="14" s="1"/>
  <c r="J49" i="14"/>
  <c r="J48" i="14"/>
  <c r="J43" i="12"/>
  <c r="J48" i="12" s="1"/>
  <c r="J43" i="11"/>
  <c r="E28" i="10"/>
  <c r="E29" i="10" s="1"/>
  <c r="J31" i="17" l="1"/>
  <c r="J32" i="17"/>
  <c r="J33" i="17"/>
  <c r="J45" i="16"/>
  <c r="J46" i="16" s="1"/>
  <c r="J48" i="16"/>
  <c r="J49" i="16"/>
  <c r="J50" i="16"/>
  <c r="J51" i="16"/>
  <c r="J53" i="16" s="1"/>
  <c r="J45" i="15"/>
  <c r="J46" i="15" s="1"/>
  <c r="J48" i="15"/>
  <c r="J51" i="15" s="1"/>
  <c r="J53" i="15" s="1"/>
  <c r="J49" i="15"/>
  <c r="J50" i="15"/>
  <c r="J51" i="14"/>
  <c r="J53" i="14" s="1"/>
  <c r="J50" i="13"/>
  <c r="J45" i="13"/>
  <c r="J46" i="13" s="1"/>
  <c r="J49" i="13"/>
  <c r="J48" i="13"/>
  <c r="J51" i="13" s="1"/>
  <c r="J49" i="12"/>
  <c r="J50" i="12"/>
  <c r="J45" i="12"/>
  <c r="J46" i="12" s="1"/>
  <c r="J49" i="11"/>
  <c r="J48" i="11"/>
  <c r="J50" i="11"/>
  <c r="J45" i="11"/>
  <c r="J46" i="11" s="1"/>
  <c r="E31" i="10"/>
  <c r="E32" i="10"/>
  <c r="E30" i="10"/>
  <c r="E33" i="10" s="1"/>
  <c r="E35" i="10" s="1"/>
  <c r="J34" i="17" l="1"/>
  <c r="J36" i="17" s="1"/>
  <c r="F19" i="1"/>
  <c r="O53" i="15"/>
  <c r="J53" i="13"/>
  <c r="O53" i="16"/>
  <c r="F20" i="1"/>
  <c r="O53" i="14"/>
  <c r="F18" i="1"/>
  <c r="J51" i="12"/>
  <c r="J53" i="12" s="1"/>
  <c r="J51" i="11"/>
  <c r="J53" i="11" s="1"/>
  <c r="J39" i="17" l="1"/>
  <c r="G19" i="1"/>
  <c r="H19" i="1" s="1"/>
  <c r="I19" i="1"/>
  <c r="O53" i="11"/>
  <c r="F12" i="1"/>
  <c r="F17" i="1"/>
  <c r="O53" i="13"/>
  <c r="G20" i="1"/>
  <c r="H20" i="1" s="1"/>
  <c r="I20" i="1"/>
  <c r="I18" i="1"/>
  <c r="G18" i="1"/>
  <c r="H18" i="1" s="1"/>
  <c r="O53" i="12"/>
  <c r="F16" i="1"/>
  <c r="H12" i="1" l="1"/>
  <c r="I12" i="1"/>
  <c r="I13" i="1" s="1"/>
  <c r="I17" i="1"/>
  <c r="G17" i="1"/>
  <c r="H17" i="1" s="1"/>
  <c r="I31" i="1"/>
  <c r="I16" i="1"/>
  <c r="I21" i="1" l="1"/>
  <c r="I25" i="1" s="1"/>
  <c r="I28" i="1" l="1"/>
  <c r="I29" i="1"/>
  <c r="I27" i="1"/>
  <c r="I30" i="1" l="1"/>
  <c r="I32" i="1" s="1"/>
  <c r="N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8" authorId="0" shapeId="0" xr:uid="{116AD4F0-EC74-49D2-9E6A-329F21C32F88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DE LA ACTIVIDAD</t>
        </r>
      </text>
    </comment>
    <comment ref="D9" authorId="0" shapeId="0" xr:uid="{D40C0368-17C3-4467-A8C0-8556CFB6349D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NUMERO DE ITEM SEGÚN RESOLUCION DE PRECIOS</t>
        </r>
      </text>
    </comment>
    <comment ref="E9" authorId="0" shapeId="0" xr:uid="{31417D90-573E-425F-A832-228C3192C3B3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NUMERO DEL ITEM DENTRO DEL PRESUPUESTO
</t>
        </r>
      </text>
    </comment>
  </commentList>
</comments>
</file>

<file path=xl/sharedStrings.xml><?xml version="1.0" encoding="utf-8"?>
<sst xmlns="http://schemas.openxmlformats.org/spreadsheetml/2006/main" count="532" uniqueCount="145">
  <si>
    <t>ITEM</t>
  </si>
  <si>
    <t>REF GOB.</t>
  </si>
  <si>
    <t>DESCRIPCIÓN</t>
  </si>
  <si>
    <t>UNIDAD</t>
  </si>
  <si>
    <t>CANTIDAD</t>
  </si>
  <si>
    <t>VALOR UNITARIO</t>
  </si>
  <si>
    <t>VALOR UNITARIO + INCREMENTO POR DISTANCIA</t>
  </si>
  <si>
    <t>VALOR TOTAL</t>
  </si>
  <si>
    <t>POSTE + LUMINARIA</t>
  </si>
  <si>
    <t>UND</t>
  </si>
  <si>
    <t>ADMINISTRACIÓN</t>
  </si>
  <si>
    <t>IMPREVISTOS</t>
  </si>
  <si>
    <t>C = A * 3%</t>
  </si>
  <si>
    <t>UTILIDAD</t>
  </si>
  <si>
    <t>D = A * 5%</t>
  </si>
  <si>
    <t>E = B + C + D</t>
  </si>
  <si>
    <t xml:space="preserve">TOTAL COSTOS DIRECTOS  PROYECTO </t>
  </si>
  <si>
    <t>ML</t>
  </si>
  <si>
    <t>VALOR INCREMENTO POR DISTANCIA 22%</t>
  </si>
  <si>
    <t>B = A * 22%</t>
  </si>
  <si>
    <t>COTIZACION</t>
  </si>
  <si>
    <t>SUBTOTAL</t>
  </si>
  <si>
    <t>KM</t>
  </si>
  <si>
    <t>FORMATO</t>
  </si>
  <si>
    <t>PRESUPUESTO PROYECTOS SGR</t>
  </si>
  <si>
    <t xml:space="preserve">ANALISIS DE PRECIOS UNITARIOS </t>
  </si>
  <si>
    <t>SUMINISTRO, ARRIMADA, HINCADA Y PLOMADA DE POSTE DE FERROCONCRETO DE 8 M 510 KGF. INCLUYE EXCAVACIÓN</t>
  </si>
  <si>
    <t xml:space="preserve">UNIDAD </t>
  </si>
  <si>
    <t>DESCRIPCION</t>
  </si>
  <si>
    <t>CANT.</t>
  </si>
  <si>
    <t>PRECIO UNIT</t>
  </si>
  <si>
    <t>MATERIALES</t>
  </si>
  <si>
    <t>POSTE DE FERROCONCRETO 8M 510 KGF</t>
  </si>
  <si>
    <t>SUBTOTAL MATERIALES</t>
  </si>
  <si>
    <t>MANO DE OBRA</t>
  </si>
  <si>
    <t>CUADRILLA DE INSTALACIÓNES ELÉCTRICAS ESPECIALIZADAS (FF1)</t>
  </si>
  <si>
    <t>HC</t>
  </si>
  <si>
    <t>SUBTOTAL- MANO DE OBRA</t>
  </si>
  <si>
    <t>EQUIPO</t>
  </si>
  <si>
    <t>GRUA DE BRAZO ARTICULADO</t>
  </si>
  <si>
    <t>HORA</t>
  </si>
  <si>
    <t>Herramienta y Equipo Menor(% M.O)</t>
  </si>
  <si>
    <t>%</t>
  </si>
  <si>
    <t>SUBTOTAL- EQUIPO</t>
  </si>
  <si>
    <t>OTROS</t>
  </si>
  <si>
    <t>SUBTOTAL OTROS</t>
  </si>
  <si>
    <t>COSTO DIRECTO</t>
  </si>
  <si>
    <t>INCREMENTO POR DISTANCIA</t>
  </si>
  <si>
    <t>TOTAL COSTOS DIRECTO+INCREM. DIST</t>
  </si>
  <si>
    <t>ADMINISTRACION</t>
  </si>
  <si>
    <t>TOTAL COSTOS INDIRECTOS:</t>
  </si>
  <si>
    <t>TOTAL COSTOS ACTIVIDAD (INCLUYE AIU E INCREMENTO POR DISTANCIA)</t>
  </si>
  <si>
    <t xml:space="preserve">OBSERVACIONES </t>
  </si>
  <si>
    <t>Realizo:</t>
  </si>
  <si>
    <t>Materiales:</t>
  </si>
  <si>
    <t>ESTUDIO DE MERCADO</t>
  </si>
  <si>
    <t xml:space="preserve">
Cargo: Profesional Consultor</t>
  </si>
  <si>
    <t>Mano de obra:</t>
  </si>
  <si>
    <t>ITEM 6.02.01  DEL ANEXO 2 ANALISIS DE PRECIOS UNITARIOS DETALLADO 2025 + RESOLUCIÓN 0050 DEL 5 DE MAYO DE 2025</t>
  </si>
  <si>
    <t>Revisó y Aprobó:</t>
  </si>
  <si>
    <t>Equipo:</t>
  </si>
  <si>
    <t>___________________________</t>
  </si>
  <si>
    <t>____________________________</t>
  </si>
  <si>
    <t>TOTAL COSTOS INDIRECTO</t>
  </si>
  <si>
    <t>LOCALIZACIÓN Y REPLANTEO TOPOGRÁFICO DE RED ELÉCTRICA DE BAJA TENSIÓN B.T</t>
  </si>
  <si>
    <t>MUNICIPIO DE PISBA</t>
  </si>
  <si>
    <t>INCREMENTO DISTANCIA:</t>
  </si>
  <si>
    <t xml:space="preserve">OBJETO: </t>
  </si>
  <si>
    <t>Resolución 050 del 05 de mayo de 2025</t>
  </si>
  <si>
    <t>ANÁLISIS DE PRECIOS UNITARIOS</t>
  </si>
  <si>
    <t>No. CAPÍTULO</t>
  </si>
  <si>
    <t>C A P Í T U L O</t>
  </si>
  <si>
    <t>No. SUB-CAPÍTULO</t>
  </si>
  <si>
    <t>S U B - C A P Í T U L O</t>
  </si>
  <si>
    <t>REF. PRECIO GOB. BOYACÁ</t>
  </si>
  <si>
    <t>DESCRIPCIÓN DE LA ACTIVIDAD</t>
  </si>
  <si>
    <t>Unidad</t>
  </si>
  <si>
    <t>No. ÍTEM PRESUPUESTO</t>
  </si>
  <si>
    <t>M2</t>
  </si>
  <si>
    <t>1. MATERIAL</t>
  </si>
  <si>
    <t>Descripción</t>
  </si>
  <si>
    <t>Valor Unitario</t>
  </si>
  <si>
    <t>Cantidad</t>
  </si>
  <si>
    <t>Valor parcial</t>
  </si>
  <si>
    <t>GALON</t>
  </si>
  <si>
    <t/>
  </si>
  <si>
    <t>2. EQUIPO</t>
  </si>
  <si>
    <t>HERRAMIENTA Y EQUIPO MENOR (%M.O.)</t>
  </si>
  <si>
    <t>SUBTOTAL EQUIPO</t>
  </si>
  <si>
    <t>3. MANO DE OBRA</t>
  </si>
  <si>
    <t>SUBTOTAL MANO DE OBRA</t>
  </si>
  <si>
    <t>INCREMENTO POR DISTANCIA (F.I.D.)</t>
  </si>
  <si>
    <t>TOTAL COSTO DIRECTO + INCREMENTO POR DISTANCIA</t>
  </si>
  <si>
    <t>TOTAL COSTOS INDIRECTOS</t>
  </si>
  <si>
    <t>OBSERVACIONES:</t>
  </si>
  <si>
    <t>________________________________________</t>
  </si>
  <si>
    <t>Realizó</t>
  </si>
  <si>
    <t xml:space="preserve"> </t>
  </si>
  <si>
    <t>DESCRIPCION MATERIAL:</t>
  </si>
  <si>
    <t>COTIZACIONES</t>
  </si>
  <si>
    <t>VALOR</t>
  </si>
  <si>
    <t>VALOR UNIDAD</t>
  </si>
  <si>
    <t xml:space="preserve">DEPARTAMENTO DE BOYACÁ
MUNICIPIO DE PISBA
NIT </t>
  </si>
  <si>
    <t xml:space="preserve">PROYECTO: </t>
  </si>
  <si>
    <t xml:space="preserve">INSTALACIONES ELÉCTRICAS PARA REDES DE DISTRIBUCIÓN EN BAJA Y MEDIA TENSIÓN </t>
  </si>
  <si>
    <t>ACTIVIDADES PRELIMINARES</t>
  </si>
  <si>
    <t>6.01.02</t>
  </si>
  <si>
    <t>EQUIPO DE TOPOGRAFÍA (ESTACIÓN TOTAL, NIVEL Y ACCESORIOS)</t>
  </si>
  <si>
    <t>6.02.01</t>
  </si>
  <si>
    <t>ESTRUCTURAS Y CABLEADO PARA REDES AÉREAS DE DISTRIBUCIÓN EN BAJA TENSIÓN Y MEDIA TENSIÓN</t>
  </si>
  <si>
    <t>GRÚA DE BRAZO ARTICULADO</t>
  </si>
  <si>
    <t xml:space="preserve">TOTAL COSTOS DE OBRA </t>
  </si>
  <si>
    <t>NACIONAL DE ELECTRICOS</t>
  </si>
  <si>
    <t>ELECTRIFICADORA CAPITAL</t>
  </si>
  <si>
    <t>INTERELECTRICAS</t>
  </si>
  <si>
    <t>CUADRILLA DE TOPOGRAFÍA (I)</t>
  </si>
  <si>
    <t>OFICIAL 1 (FF1)</t>
  </si>
  <si>
    <t>HH</t>
  </si>
  <si>
    <t>7.06.17</t>
  </si>
  <si>
    <t>SUMINISTRO E INSTALACIÓN DE LUMINARIA PARA ALUMBRADO PÚBLICO LED DE 80 W EMITIENDO ENTRE MÍNIMO 10.400 LUMENES EN 4000 KELVIN. NO INCLUYE DRIVER PROGRAMABLE PARA TELEGESTIÓN</t>
  </si>
  <si>
    <t>INSTALACIONES ELÉCTRICAS PARA ALUMBRADO PÚBLICO, DE ESCENARIOS Y EQUIPOS PARA TELEGESTIÓN</t>
  </si>
  <si>
    <t>LUMINARIA PARA ALUMBRADO PUBLICO LED DE 80 W EMITIENDO MÍNIMO 10.400 LUMENES EN 4.000 KELVIN. NO INCLUYE DRIVER PROGRAMABLE PARA TELEGESTIÓN</t>
  </si>
  <si>
    <t>FOTOCELDA PARA LUMINARIA DE ALUMBRADO PÚBLICO DE 3 PINES,  MÍNIMO 400 JOULES.</t>
  </si>
  <si>
    <t>LUMINARIA PARA ALUMBRADO PUBLICO, PARQUES Y ESCENARIOS</t>
  </si>
  <si>
    <t xml:space="preserve">SUMINISTRO E INSTALACIÓN  DE BRAZO METALICO DE 1 1/2 X 1,50 M GALVANIZADO EN CALIENTE, PARA POSTE DE ALUMBRADO PÚBLICO. INCLUYE ELEMENTOS DE ANCLAJE. </t>
  </si>
  <si>
    <t>7.03.02</t>
  </si>
  <si>
    <t>BRAZOS METÁLICOS PARA POSTES DE ALUMBRADO PÚBLICO</t>
  </si>
  <si>
    <t>BRAZO PARA A.P. EN TUBO DE FE GALV. DE 1 1/2" X 1.5 M.</t>
  </si>
  <si>
    <t>PERCHA GALVANIZADA PARA ANCLAJE</t>
  </si>
  <si>
    <t>COLLARIN DE 160 MM POR 2 SALIDAS EN PLATINA GALV. DE 1/4"</t>
  </si>
  <si>
    <t>6.02.64</t>
  </si>
  <si>
    <t xml:space="preserve">SUMINISTRO, TENDIDO Y TENSIONADO DE CABLE TRIPLEX XLPE-SR No 2 AWG </t>
  </si>
  <si>
    <t>HOMECENTER</t>
  </si>
  <si>
    <t>DESCRIPCIÓN MATERIAL</t>
  </si>
  <si>
    <t>CABLE DE ALUMINIO TRIPLEX N° 2 AWG XLPE-SR</t>
  </si>
  <si>
    <t>LUMINARIA LED SOLAR INTEGRADA PARA ALUMBRADO PUBLICO DE HASTA 60 W CON FLUJO LUMINOSO MÍNIMO DE 7500 LUMENES A 6000 K Y AUTONOMIA DE 12 HORAS CON 50.000 HORAS DE VIDA UTIL</t>
  </si>
  <si>
    <t>SUMINISTRO E INSTALACIÓN LUMINARIA LED SOLAR INTEGRADA PARA ALUMBRADO PUBLICO DE HASTA 60W CON FLUJO LUMINOSO MÍNIMO DE 7500 LUMENES A 6000 KELVIN   CON 50.000 HORAS DE VIDA UTIL</t>
  </si>
  <si>
    <t>SISTEMA DE ALUMBRADO LED CONVENCIONAL (CONECTADO A RED)</t>
  </si>
  <si>
    <t>SISTEMA DE ALUMBRADO LED SOLAR AUTONOMO</t>
  </si>
  <si>
    <t>Resolución 033 del 27 de abril de 2026</t>
  </si>
  <si>
    <t xml:space="preserve">6.02.01 + COTIZACION </t>
  </si>
  <si>
    <t xml:space="preserve">7.06.17 + COTIZACION </t>
  </si>
  <si>
    <t xml:space="preserve">6.02.64 + COTIZACION </t>
  </si>
  <si>
    <t>OBJETO:  AMPLIACIÓN, MANTENIMIENTO Y REPOTENCIACIÓN DEL SISTEMA DE ALUMBRADO PÚBLICO CONVENCIONAL, E INSTALACIÓN DE SISTEMAS FOTOVOLTAICOS EN EL MUNICIPIO DE PISBA, BOYACÁ</t>
  </si>
  <si>
    <t>F.I.D. (22%)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</si>
</sst>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6" formatCode="_-* #,##0_-;\-* #,##0_-;_-* &quot;-&quot;??_-;_-@_-"/>
    <numFmt numFmtId="167" formatCode="_ * #,##0.00_ ;_ * \-#,##0.00_ ;_ * &quot;-&quot;??_ ;_ @_ "/>
    <numFmt numFmtId="168" formatCode="_-&quot;$&quot;* #,##0.00_-;\-&quot;$&quot;* #,##0.00_-;_-&quot;$&quot;* &quot;-&quot;??_-;_-@_-"/>
    <numFmt numFmtId="169" formatCode="_-&quot;$&quot;\ * #,##0_-;\-&quot;$&quot;\ * #,##0_-;_-&quot;$&quot;\ * &quot;-&quot;??_-;_-@_-"/>
    <numFmt numFmtId="170" formatCode="0.0"/>
    <numFmt numFmtId="171" formatCode="0.0000"/>
    <numFmt numFmtId="172" formatCode="0.00000"/>
    <numFmt numFmtId="173" formatCode="_(&quot;$&quot;\ * #,##0.00_);_(&quot;$&quot;\ * \(#,##0.00\);_(&quot;$&quot;\ * &quot;-&quot;??_);_(@_)"/>
    <numFmt numFmtId="174" formatCode="&quot;$&quot;#,##0"/>
    <numFmt numFmtId="175" formatCode="_(* #,##0.00_);_(* \(#,##0.00\);_(* &quot;-&quot;??_);_(@_)"/>
    <numFmt numFmtId="176" formatCode="_(&quot;$&quot;\ * #,##0_);_(&quot;$&quot;\ * \(#,##0\);_(&quot;$&quot;\ * &quot;-&quot;_);_(@_)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ova Light"/>
      <family val="2"/>
    </font>
    <font>
      <sz val="9"/>
      <color theme="1"/>
      <name val="Arial Nova Light"/>
      <family val="2"/>
    </font>
    <font>
      <b/>
      <sz val="9"/>
      <name val="Arial Nova Light"/>
      <family val="2"/>
    </font>
    <font>
      <sz val="9"/>
      <name val="Arial Nova Light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Arial Narrow"/>
      <family val="2"/>
    </font>
    <font>
      <sz val="11"/>
      <color indexed="8"/>
      <name val="Arial Narrow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Aptos"/>
      <family val="2"/>
    </font>
    <font>
      <sz val="1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4"/>
      <color theme="1"/>
      <name val="Aptos"/>
      <family val="2"/>
    </font>
    <font>
      <b/>
      <sz val="9"/>
      <color theme="1"/>
      <name val="Aptos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i/>
      <sz val="9"/>
      <name val="Arial Narrow"/>
      <family val="2"/>
    </font>
    <font>
      <b/>
      <i/>
      <sz val="10"/>
      <name val="Arial Narrow"/>
      <family val="2"/>
    </font>
    <font>
      <b/>
      <i/>
      <sz val="12"/>
      <name val="Arial Narrow"/>
      <family val="2"/>
    </font>
    <font>
      <sz val="12"/>
      <color theme="1"/>
      <name val="Arial Narrow"/>
      <family val="2"/>
    </font>
    <font>
      <i/>
      <sz val="12"/>
      <name val="Arial Narrow"/>
      <family val="2"/>
    </font>
    <font>
      <i/>
      <sz val="10"/>
      <name val="Arial Narrow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173" fontId="1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0" fontId="42" fillId="0" borderId="0"/>
  </cellStyleXfs>
  <cellXfs count="508">
    <xf numFmtId="0" fontId="0" fillId="0" borderId="0" xfId="0"/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Border="1" applyAlignment="1">
      <alignment vertical="center" wrapText="1"/>
    </xf>
    <xf numFmtId="164" fontId="3" fillId="0" borderId="10" xfId="0" applyNumberFormat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2" fontId="2" fillId="0" borderId="8" xfId="0" applyNumberFormat="1" applyFont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/>
    </xf>
    <xf numFmtId="2" fontId="2" fillId="0" borderId="18" xfId="0" applyNumberFormat="1" applyFont="1" applyBorder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2" fontId="2" fillId="0" borderId="19" xfId="0" applyNumberFormat="1" applyFont="1" applyBorder="1" applyAlignment="1">
      <alignment horizontal="left" vertical="center"/>
    </xf>
    <xf numFmtId="164" fontId="2" fillId="0" borderId="20" xfId="0" applyNumberFormat="1" applyFont="1" applyBorder="1" applyAlignment="1">
      <alignment vertical="center"/>
    </xf>
    <xf numFmtId="2" fontId="4" fillId="0" borderId="22" xfId="0" applyNumberFormat="1" applyFont="1" applyBorder="1" applyAlignment="1">
      <alignment vertical="center"/>
    </xf>
    <xf numFmtId="10" fontId="5" fillId="0" borderId="9" xfId="2" applyNumberFormat="1" applyFont="1" applyFill="1" applyBorder="1" applyAlignment="1">
      <alignment vertical="center"/>
    </xf>
    <xf numFmtId="164" fontId="5" fillId="0" borderId="10" xfId="0" applyNumberFormat="1" applyFont="1" applyBorder="1" applyAlignment="1">
      <alignment vertical="center" wrapText="1"/>
    </xf>
    <xf numFmtId="10" fontId="5" fillId="0" borderId="25" xfId="2" applyNumberFormat="1" applyFont="1" applyFill="1" applyBorder="1" applyAlignment="1">
      <alignment vertical="center"/>
    </xf>
    <xf numFmtId="164" fontId="5" fillId="0" borderId="26" xfId="0" applyNumberFormat="1" applyFont="1" applyBorder="1" applyAlignment="1">
      <alignment vertical="center" wrapText="1"/>
    </xf>
    <xf numFmtId="164" fontId="4" fillId="2" borderId="3" xfId="0" applyNumberFormat="1" applyFont="1" applyFill="1" applyBorder="1" applyAlignment="1">
      <alignment vertical="center"/>
    </xf>
    <xf numFmtId="164" fontId="2" fillId="0" borderId="28" xfId="0" applyNumberFormat="1" applyFont="1" applyBorder="1" applyAlignment="1">
      <alignment vertical="center"/>
    </xf>
    <xf numFmtId="164" fontId="2" fillId="4" borderId="3" xfId="0" applyNumberFormat="1" applyFont="1" applyFill="1" applyBorder="1" applyAlignment="1">
      <alignment vertical="center"/>
    </xf>
    <xf numFmtId="2" fontId="3" fillId="0" borderId="4" xfId="0" applyNumberFormat="1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64" fontId="2" fillId="0" borderId="12" xfId="0" applyNumberFormat="1" applyFont="1" applyBorder="1" applyAlignment="1">
      <alignment vertical="center" wrapText="1"/>
    </xf>
    <xf numFmtId="2" fontId="2" fillId="0" borderId="18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164" fontId="2" fillId="0" borderId="29" xfId="0" applyNumberFormat="1" applyFont="1" applyBorder="1" applyAlignment="1">
      <alignment vertical="center" wrapText="1"/>
    </xf>
    <xf numFmtId="2" fontId="2" fillId="0" borderId="11" xfId="0" applyNumberFormat="1" applyFont="1" applyBorder="1" applyAlignment="1">
      <alignment vertical="center" wrapText="1"/>
    </xf>
    <xf numFmtId="166" fontId="3" fillId="0" borderId="9" xfId="1" applyNumberFormat="1" applyFont="1" applyBorder="1" applyAlignment="1">
      <alignment vertical="center" wrapText="1"/>
    </xf>
    <xf numFmtId="165" fontId="2" fillId="0" borderId="10" xfId="0" applyNumberFormat="1" applyFont="1" applyBorder="1" applyAlignment="1">
      <alignment vertical="center" wrapText="1"/>
    </xf>
    <xf numFmtId="2" fontId="3" fillId="0" borderId="9" xfId="3" applyNumberFormat="1" applyFont="1" applyBorder="1" applyAlignment="1">
      <alignment vertical="center" wrapText="1"/>
    </xf>
    <xf numFmtId="0" fontId="2" fillId="5" borderId="9" xfId="0" applyFont="1" applyFill="1" applyBorder="1" applyAlignment="1">
      <alignment vertical="center" wrapText="1"/>
    </xf>
    <xf numFmtId="164" fontId="2" fillId="5" borderId="9" xfId="0" applyNumberFormat="1" applyFont="1" applyFill="1" applyBorder="1" applyAlignment="1">
      <alignment vertical="center" wrapText="1"/>
    </xf>
    <xf numFmtId="164" fontId="2" fillId="5" borderId="10" xfId="0" applyNumberFormat="1" applyFont="1" applyFill="1" applyBorder="1" applyAlignment="1">
      <alignment vertical="center" wrapText="1"/>
    </xf>
    <xf numFmtId="164" fontId="3" fillId="0" borderId="30" xfId="0" applyNumberFormat="1" applyFont="1" applyBorder="1" applyAlignment="1">
      <alignment vertical="center" wrapText="1"/>
    </xf>
    <xf numFmtId="0" fontId="8" fillId="0" borderId="33" xfId="5" applyFont="1" applyBorder="1" applyAlignment="1">
      <alignment vertical="center" wrapText="1"/>
    </xf>
    <xf numFmtId="0" fontId="9" fillId="0" borderId="0" xfId="5" applyFont="1"/>
    <xf numFmtId="0" fontId="8" fillId="0" borderId="10" xfId="5" applyFont="1" applyBorder="1" applyAlignment="1">
      <alignment vertical="center" wrapText="1"/>
    </xf>
    <xf numFmtId="15" fontId="8" fillId="0" borderId="10" xfId="5" applyNumberFormat="1" applyFont="1" applyBorder="1" applyAlignment="1">
      <alignment vertical="center"/>
    </xf>
    <xf numFmtId="0" fontId="9" fillId="0" borderId="0" xfId="5" applyFont="1" applyAlignment="1" applyProtection="1">
      <alignment vertical="center"/>
      <protection hidden="1"/>
    </xf>
    <xf numFmtId="0" fontId="9" fillId="0" borderId="0" xfId="5" applyFont="1" applyAlignment="1" applyProtection="1">
      <alignment horizontal="center" vertical="center"/>
      <protection hidden="1"/>
    </xf>
    <xf numFmtId="0" fontId="10" fillId="7" borderId="39" xfId="5" applyFont="1" applyFill="1" applyBorder="1" applyAlignment="1" applyProtection="1">
      <alignment horizontal="center"/>
      <protection hidden="1"/>
    </xf>
    <xf numFmtId="167" fontId="8" fillId="7" borderId="40" xfId="6" applyFont="1" applyFill="1" applyBorder="1" applyAlignment="1" applyProtection="1">
      <alignment horizontal="right" vertical="center"/>
      <protection hidden="1"/>
    </xf>
    <xf numFmtId="2" fontId="9" fillId="7" borderId="0" xfId="5" applyNumberFormat="1" applyFont="1" applyFill="1" applyAlignment="1" applyProtection="1">
      <alignment horizontal="center"/>
      <protection hidden="1"/>
    </xf>
    <xf numFmtId="167" fontId="8" fillId="7" borderId="29" xfId="6" applyFont="1" applyFill="1" applyBorder="1" applyAlignment="1" applyProtection="1">
      <alignment horizontal="right" vertical="center"/>
      <protection hidden="1"/>
    </xf>
    <xf numFmtId="0" fontId="12" fillId="0" borderId="43" xfId="5" applyFont="1" applyBorder="1" applyAlignment="1">
      <alignment horizontal="left" vertical="top"/>
    </xf>
    <xf numFmtId="0" fontId="12" fillId="0" borderId="44" xfId="5" applyFont="1" applyBorder="1" applyAlignment="1">
      <alignment horizontal="center"/>
    </xf>
    <xf numFmtId="167" fontId="12" fillId="0" borderId="44" xfId="6" applyFont="1" applyFill="1" applyBorder="1" applyAlignment="1">
      <alignment horizontal="center"/>
    </xf>
    <xf numFmtId="167" fontId="12" fillId="0" borderId="45" xfId="6" applyFont="1" applyFill="1" applyBorder="1" applyAlignment="1">
      <alignment horizontal="center" vertical="center"/>
    </xf>
    <xf numFmtId="0" fontId="13" fillId="0" borderId="18" xfId="5" applyFont="1" applyBorder="1" applyAlignment="1">
      <alignment horizontal="left" vertical="top"/>
    </xf>
    <xf numFmtId="0" fontId="13" fillId="0" borderId="0" xfId="5" applyFont="1" applyAlignment="1">
      <alignment horizontal="center"/>
    </xf>
    <xf numFmtId="0" fontId="13" fillId="0" borderId="0" xfId="5" applyFont="1"/>
    <xf numFmtId="167" fontId="13" fillId="0" borderId="0" xfId="6" applyFont="1" applyFill="1" applyBorder="1" applyAlignment="1">
      <alignment horizontal="right"/>
    </xf>
    <xf numFmtId="167" fontId="13" fillId="0" borderId="29" xfId="6" applyFont="1" applyFill="1" applyBorder="1" applyAlignment="1">
      <alignment horizontal="right" vertical="center"/>
    </xf>
    <xf numFmtId="0" fontId="8" fillId="0" borderId="18" xfId="5" applyFont="1" applyBorder="1" applyAlignment="1">
      <alignment horizontal="left" vertical="top"/>
    </xf>
    <xf numFmtId="0" fontId="13" fillId="0" borderId="43" xfId="5" applyFont="1" applyBorder="1" applyAlignment="1">
      <alignment horizontal="left" vertical="center" wrapText="1"/>
    </xf>
    <xf numFmtId="0" fontId="13" fillId="0" borderId="44" xfId="5" applyFont="1" applyBorder="1" applyAlignment="1">
      <alignment horizontal="center" vertical="center"/>
    </xf>
    <xf numFmtId="0" fontId="13" fillId="0" borderId="44" xfId="5" applyFont="1" applyBorder="1" applyAlignment="1">
      <alignment vertical="center"/>
    </xf>
    <xf numFmtId="164" fontId="14" fillId="6" borderId="46" xfId="7" applyNumberFormat="1" applyFont="1" applyFill="1" applyBorder="1" applyAlignment="1" applyProtection="1">
      <alignment horizontal="right" vertical="center"/>
      <protection locked="0"/>
    </xf>
    <xf numFmtId="168" fontId="13" fillId="0" borderId="45" xfId="8" applyFont="1" applyFill="1" applyBorder="1" applyAlignment="1">
      <alignment horizontal="right" vertical="center"/>
    </xf>
    <xf numFmtId="0" fontId="13" fillId="0" borderId="43" xfId="5" applyFont="1" applyBorder="1" applyAlignment="1">
      <alignment horizontal="left" vertical="top"/>
    </xf>
    <xf numFmtId="0" fontId="13" fillId="0" borderId="44" xfId="5" applyFont="1" applyBorder="1" applyAlignment="1">
      <alignment horizontal="center"/>
    </xf>
    <xf numFmtId="0" fontId="13" fillId="0" borderId="44" xfId="5" applyFont="1" applyBorder="1"/>
    <xf numFmtId="44" fontId="13" fillId="0" borderId="44" xfId="3" applyFont="1" applyFill="1" applyBorder="1" applyAlignment="1">
      <alignment horizontal="right"/>
    </xf>
    <xf numFmtId="44" fontId="13" fillId="0" borderId="45" xfId="3" applyFont="1" applyFill="1" applyBorder="1" applyAlignment="1">
      <alignment horizontal="right" vertical="center"/>
    </xf>
    <xf numFmtId="167" fontId="8" fillId="0" borderId="0" xfId="6" applyFont="1" applyFill="1" applyBorder="1" applyAlignment="1">
      <alignment horizontal="right"/>
    </xf>
    <xf numFmtId="44" fontId="8" fillId="0" borderId="45" xfId="3" applyFont="1" applyFill="1" applyBorder="1" applyAlignment="1">
      <alignment horizontal="right" vertical="center"/>
    </xf>
    <xf numFmtId="168" fontId="13" fillId="0" borderId="44" xfId="8" applyFont="1" applyFill="1" applyBorder="1" applyAlignment="1">
      <alignment horizontal="right"/>
    </xf>
    <xf numFmtId="167" fontId="8" fillId="0" borderId="45" xfId="6" applyFont="1" applyFill="1" applyBorder="1" applyAlignment="1">
      <alignment horizontal="right" vertical="center"/>
    </xf>
    <xf numFmtId="2" fontId="13" fillId="0" borderId="44" xfId="9" applyNumberFormat="1" applyFont="1" applyFill="1" applyBorder="1" applyAlignment="1">
      <alignment horizontal="right"/>
    </xf>
    <xf numFmtId="9" fontId="13" fillId="0" borderId="43" xfId="5" applyNumberFormat="1" applyFont="1" applyBorder="1" applyAlignment="1" applyProtection="1">
      <alignment horizontal="left" vertical="top"/>
      <protection hidden="1"/>
    </xf>
    <xf numFmtId="0" fontId="13" fillId="0" borderId="44" xfId="5" applyFont="1" applyBorder="1" applyAlignment="1" applyProtection="1">
      <alignment horizontal="center"/>
      <protection hidden="1"/>
    </xf>
    <xf numFmtId="1" fontId="13" fillId="0" borderId="44" xfId="9" applyNumberFormat="1" applyFont="1" applyFill="1" applyBorder="1" applyAlignment="1" applyProtection="1">
      <alignment horizontal="right"/>
      <protection hidden="1"/>
    </xf>
    <xf numFmtId="169" fontId="13" fillId="0" borderId="44" xfId="8" applyNumberFormat="1" applyFont="1" applyFill="1" applyBorder="1" applyAlignment="1" applyProtection="1">
      <alignment horizontal="right"/>
      <protection hidden="1"/>
    </xf>
    <xf numFmtId="2" fontId="13" fillId="0" borderId="44" xfId="10" applyNumberFormat="1" applyFont="1" applyFill="1" applyBorder="1" applyAlignment="1" applyProtection="1">
      <alignment horizontal="center"/>
      <protection hidden="1"/>
    </xf>
    <xf numFmtId="167" fontId="13" fillId="0" borderId="44" xfId="6" applyFont="1" applyFill="1" applyBorder="1" applyAlignment="1" applyProtection="1">
      <alignment horizontal="right"/>
      <protection hidden="1"/>
    </xf>
    <xf numFmtId="43" fontId="13" fillId="0" borderId="45" xfId="6" applyNumberFormat="1" applyFont="1" applyFill="1" applyBorder="1" applyAlignment="1" applyProtection="1">
      <alignment horizontal="right" vertical="center"/>
      <protection hidden="1"/>
    </xf>
    <xf numFmtId="167" fontId="8" fillId="0" borderId="47" xfId="6" applyFont="1" applyFill="1" applyBorder="1" applyAlignment="1">
      <alignment horizontal="right" vertical="center"/>
    </xf>
    <xf numFmtId="167" fontId="12" fillId="7" borderId="51" xfId="6" applyFont="1" applyFill="1" applyBorder="1" applyAlignment="1" applyProtection="1">
      <alignment horizontal="right"/>
      <protection hidden="1"/>
    </xf>
    <xf numFmtId="4" fontId="12" fillId="0" borderId="18" xfId="5" applyNumberFormat="1" applyFont="1" applyBorder="1" applyAlignment="1" applyProtection="1">
      <alignment horizontal="left" vertical="top"/>
      <protection hidden="1"/>
    </xf>
    <xf numFmtId="0" fontId="16" fillId="0" borderId="52" xfId="5" applyFont="1" applyBorder="1" applyAlignment="1" applyProtection="1">
      <alignment horizontal="center"/>
      <protection hidden="1"/>
    </xf>
    <xf numFmtId="10" fontId="16" fillId="0" borderId="53" xfId="5" applyNumberFormat="1" applyFont="1" applyBorder="1" applyProtection="1">
      <protection hidden="1"/>
    </xf>
    <xf numFmtId="167" fontId="12" fillId="0" borderId="53" xfId="5" applyNumberFormat="1" applyFont="1" applyBorder="1" applyAlignment="1" applyProtection="1">
      <alignment horizontal="right"/>
      <protection hidden="1"/>
    </xf>
    <xf numFmtId="167" fontId="12" fillId="0" borderId="54" xfId="6" applyFont="1" applyFill="1" applyBorder="1" applyAlignment="1" applyProtection="1">
      <alignment horizontal="right"/>
      <protection hidden="1"/>
    </xf>
    <xf numFmtId="167" fontId="12" fillId="7" borderId="56" xfId="6" applyFont="1" applyFill="1" applyBorder="1" applyAlignment="1" applyProtection="1">
      <alignment horizontal="right"/>
      <protection hidden="1"/>
    </xf>
    <xf numFmtId="0" fontId="13" fillId="0" borderId="48" xfId="5" applyFont="1" applyBorder="1" applyAlignment="1">
      <alignment horizontal="left" vertical="center"/>
    </xf>
    <xf numFmtId="0" fontId="13" fillId="0" borderId="49" xfId="5" applyFont="1" applyBorder="1" applyAlignment="1">
      <alignment horizontal="center" vertical="center"/>
    </xf>
    <xf numFmtId="9" fontId="13" fillId="0" borderId="50" xfId="2" applyFont="1" applyFill="1" applyBorder="1" applyAlignment="1">
      <alignment vertical="center"/>
    </xf>
    <xf numFmtId="167" fontId="13" fillId="0" borderId="57" xfId="6" applyFont="1" applyFill="1" applyBorder="1" applyAlignment="1">
      <alignment horizontal="right" vertical="center"/>
    </xf>
    <xf numFmtId="167" fontId="13" fillId="0" borderId="58" xfId="6" applyFont="1" applyFill="1" applyBorder="1" applyAlignment="1">
      <alignment horizontal="right" vertical="center"/>
    </xf>
    <xf numFmtId="0" fontId="13" fillId="0" borderId="59" xfId="5" applyFont="1" applyBorder="1" applyAlignment="1">
      <alignment horizontal="left" vertical="center"/>
    </xf>
    <xf numFmtId="0" fontId="13" fillId="0" borderId="60" xfId="5" applyFont="1" applyBorder="1" applyAlignment="1">
      <alignment horizontal="center" vertical="center"/>
    </xf>
    <xf numFmtId="9" fontId="13" fillId="0" borderId="61" xfId="2" applyFont="1" applyFill="1" applyBorder="1" applyAlignment="1">
      <alignment vertical="center"/>
    </xf>
    <xf numFmtId="167" fontId="13" fillId="0" borderId="62" xfId="6" applyFont="1" applyFill="1" applyBorder="1" applyAlignment="1">
      <alignment horizontal="right" vertical="center"/>
    </xf>
    <xf numFmtId="167" fontId="13" fillId="0" borderId="63" xfId="6" applyFont="1" applyFill="1" applyBorder="1" applyAlignment="1">
      <alignment horizontal="right" vertical="center"/>
    </xf>
    <xf numFmtId="4" fontId="8" fillId="0" borderId="18" xfId="5" applyNumberFormat="1" applyFont="1" applyBorder="1" applyAlignment="1">
      <alignment horizontal="left" vertical="center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vertical="center"/>
    </xf>
    <xf numFmtId="167" fontId="8" fillId="0" borderId="0" xfId="6" applyFont="1" applyFill="1" applyBorder="1" applyAlignment="1">
      <alignment horizontal="right" vertical="center"/>
    </xf>
    <xf numFmtId="167" fontId="8" fillId="0" borderId="29" xfId="6" applyFont="1" applyFill="1" applyBorder="1" applyAlignment="1">
      <alignment horizontal="right" vertical="center"/>
    </xf>
    <xf numFmtId="167" fontId="17" fillId="8" borderId="66" xfId="6" applyFont="1" applyFill="1" applyBorder="1" applyAlignment="1" applyProtection="1">
      <alignment horizontal="right" vertical="center"/>
      <protection hidden="1"/>
    </xf>
    <xf numFmtId="0" fontId="9" fillId="0" borderId="39" xfId="5" applyFont="1" applyBorder="1" applyAlignment="1" applyProtection="1">
      <alignment vertical="center"/>
      <protection hidden="1"/>
    </xf>
    <xf numFmtId="0" fontId="9" fillId="0" borderId="68" xfId="5" applyFont="1" applyBorder="1" applyAlignment="1" applyProtection="1">
      <alignment vertical="center"/>
      <protection hidden="1"/>
    </xf>
    <xf numFmtId="0" fontId="9" fillId="0" borderId="29" xfId="5" applyFont="1" applyBorder="1" applyAlignment="1" applyProtection="1">
      <alignment vertical="center"/>
      <protection hidden="1"/>
    </xf>
    <xf numFmtId="0" fontId="13" fillId="0" borderId="69" xfId="5" applyFont="1" applyBorder="1"/>
    <xf numFmtId="0" fontId="13" fillId="0" borderId="29" xfId="5" applyFont="1" applyBorder="1"/>
    <xf numFmtId="0" fontId="9" fillId="0" borderId="71" xfId="5" applyFont="1" applyBorder="1" applyAlignment="1" applyProtection="1">
      <alignment vertical="center" wrapText="1"/>
      <protection hidden="1"/>
    </xf>
    <xf numFmtId="0" fontId="9" fillId="0" borderId="37" xfId="5" applyFont="1" applyBorder="1" applyAlignment="1" applyProtection="1">
      <alignment vertical="center" wrapText="1"/>
      <protection hidden="1"/>
    </xf>
    <xf numFmtId="43" fontId="0" fillId="0" borderId="0" xfId="1" applyFont="1"/>
    <xf numFmtId="43" fontId="0" fillId="0" borderId="0" xfId="1" applyFont="1" applyAlignment="1">
      <alignment horizontal="center"/>
    </xf>
    <xf numFmtId="164" fontId="0" fillId="0" borderId="0" xfId="0" applyNumberFormat="1"/>
    <xf numFmtId="0" fontId="3" fillId="0" borderId="9" xfId="0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0" fontId="2" fillId="0" borderId="72" xfId="0" applyFont="1" applyBorder="1" applyAlignment="1">
      <alignment vertical="center" wrapText="1"/>
    </xf>
    <xf numFmtId="0" fontId="2" fillId="0" borderId="73" xfId="0" applyFont="1" applyBorder="1" applyAlignment="1">
      <alignment vertical="center" wrapText="1"/>
    </xf>
    <xf numFmtId="0" fontId="2" fillId="0" borderId="74" xfId="0" applyFont="1" applyBorder="1" applyAlignment="1">
      <alignment vertical="center" wrapText="1"/>
    </xf>
    <xf numFmtId="164" fontId="2" fillId="0" borderId="74" xfId="0" applyNumberFormat="1" applyFont="1" applyBorder="1" applyAlignment="1">
      <alignment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3" fillId="9" borderId="11" xfId="0" applyNumberFormat="1" applyFont="1" applyFill="1" applyBorder="1" applyAlignment="1">
      <alignment vertical="center" wrapText="1"/>
    </xf>
    <xf numFmtId="0" fontId="2" fillId="9" borderId="12" xfId="0" applyFont="1" applyFill="1" applyBorder="1" applyAlignment="1">
      <alignment vertical="center" wrapText="1"/>
    </xf>
    <xf numFmtId="165" fontId="2" fillId="9" borderId="12" xfId="0" applyNumberFormat="1" applyFont="1" applyFill="1" applyBorder="1" applyAlignment="1">
      <alignment vertical="center" wrapText="1"/>
    </xf>
    <xf numFmtId="165" fontId="2" fillId="9" borderId="9" xfId="1" applyNumberFormat="1" applyFont="1" applyFill="1" applyBorder="1" applyAlignment="1">
      <alignment vertical="center" wrapText="1"/>
    </xf>
    <xf numFmtId="164" fontId="2" fillId="9" borderId="13" xfId="0" applyNumberFormat="1" applyFont="1" applyFill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9" fontId="23" fillId="0" borderId="75" xfId="2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75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44" fontId="26" fillId="0" borderId="0" xfId="3" applyFont="1" applyAlignment="1">
      <alignment horizontal="center" vertical="center"/>
    </xf>
    <xf numFmtId="17" fontId="23" fillId="0" borderId="0" xfId="0" applyNumberFormat="1" applyFont="1" applyAlignment="1">
      <alignment vertical="center"/>
    </xf>
    <xf numFmtId="44" fontId="3" fillId="0" borderId="9" xfId="3" applyFont="1" applyBorder="1" applyAlignment="1">
      <alignment horizontal="center" vertical="center" wrapText="1"/>
    </xf>
    <xf numFmtId="170" fontId="3" fillId="0" borderId="9" xfId="0" applyNumberFormat="1" applyFont="1" applyBorder="1" applyAlignment="1">
      <alignment horizontal="center" vertical="center" wrapText="1"/>
    </xf>
    <xf numFmtId="0" fontId="27" fillId="6" borderId="0" xfId="11" applyFont="1" applyFill="1" applyAlignment="1">
      <alignment vertical="center"/>
    </xf>
    <xf numFmtId="0" fontId="28" fillId="6" borderId="0" xfId="11" applyFont="1" applyFill="1" applyAlignment="1">
      <alignment vertical="center"/>
    </xf>
    <xf numFmtId="167" fontId="28" fillId="6" borderId="0" xfId="7" applyFont="1" applyFill="1" applyAlignment="1">
      <alignment vertical="center"/>
    </xf>
    <xf numFmtId="0" fontId="29" fillId="6" borderId="0" xfId="11" applyFont="1" applyFill="1" applyAlignment="1">
      <alignment horizontal="center" vertical="center"/>
    </xf>
    <xf numFmtId="0" fontId="27" fillId="6" borderId="76" xfId="11" applyFont="1" applyFill="1" applyBorder="1" applyAlignment="1">
      <alignment vertical="center"/>
    </xf>
    <xf numFmtId="0" fontId="27" fillId="6" borderId="77" xfId="11" applyFont="1" applyFill="1" applyBorder="1" applyAlignment="1">
      <alignment vertical="center"/>
    </xf>
    <xf numFmtId="0" fontId="28" fillId="6" borderId="77" xfId="11" applyFont="1" applyFill="1" applyBorder="1" applyAlignment="1">
      <alignment vertical="center"/>
    </xf>
    <xf numFmtId="167" fontId="28" fillId="6" borderId="77" xfId="7" applyFont="1" applyFill="1" applyBorder="1" applyAlignment="1">
      <alignment vertical="center"/>
    </xf>
    <xf numFmtId="0" fontId="27" fillId="6" borderId="22" xfId="11" applyFont="1" applyFill="1" applyBorder="1" applyAlignment="1">
      <alignment vertical="center"/>
    </xf>
    <xf numFmtId="0" fontId="27" fillId="6" borderId="30" xfId="11" applyFont="1" applyFill="1" applyBorder="1" applyAlignment="1">
      <alignment vertical="center"/>
    </xf>
    <xf numFmtId="0" fontId="27" fillId="6" borderId="27" xfId="11" applyFont="1" applyFill="1" applyBorder="1" applyAlignment="1">
      <alignment vertical="center"/>
    </xf>
    <xf numFmtId="0" fontId="29" fillId="6" borderId="30" xfId="11" applyFont="1" applyFill="1" applyBorder="1" applyAlignment="1">
      <alignment horizontal="center" vertical="center"/>
    </xf>
    <xf numFmtId="0" fontId="32" fillId="10" borderId="78" xfId="11" quotePrefix="1" applyFont="1" applyFill="1" applyBorder="1" applyAlignment="1">
      <alignment horizontal="center" vertical="center"/>
    </xf>
    <xf numFmtId="0" fontId="29" fillId="6" borderId="27" xfId="11" applyFont="1" applyFill="1" applyBorder="1" applyAlignment="1">
      <alignment horizontal="center" vertical="center"/>
    </xf>
    <xf numFmtId="0" fontId="33" fillId="10" borderId="79" xfId="11" applyFont="1" applyFill="1" applyBorder="1" applyAlignment="1">
      <alignment horizontal="center" vertical="center"/>
    </xf>
    <xf numFmtId="0" fontId="32" fillId="10" borderId="80" xfId="11" quotePrefix="1" applyFont="1" applyFill="1" applyBorder="1" applyAlignment="1">
      <alignment horizontal="center" vertical="center"/>
    </xf>
    <xf numFmtId="0" fontId="33" fillId="10" borderId="84" xfId="11" applyFont="1" applyFill="1" applyBorder="1" applyAlignment="1">
      <alignment horizontal="center" vertical="center"/>
    </xf>
    <xf numFmtId="0" fontId="33" fillId="6" borderId="30" xfId="11" applyFont="1" applyFill="1" applyBorder="1" applyAlignment="1">
      <alignment vertical="center"/>
    </xf>
    <xf numFmtId="0" fontId="32" fillId="10" borderId="89" xfId="11" applyFont="1" applyFill="1" applyBorder="1" applyAlignment="1">
      <alignment horizontal="center" vertical="center"/>
    </xf>
    <xf numFmtId="167" fontId="32" fillId="10" borderId="89" xfId="7" quotePrefix="1" applyFont="1" applyFill="1" applyBorder="1" applyAlignment="1">
      <alignment horizontal="center" vertical="center"/>
    </xf>
    <xf numFmtId="0" fontId="32" fillId="10" borderId="90" xfId="11" applyFont="1" applyFill="1" applyBorder="1" applyAlignment="1">
      <alignment horizontal="center" vertical="center"/>
    </xf>
    <xf numFmtId="0" fontId="33" fillId="6" borderId="27" xfId="11" applyFont="1" applyFill="1" applyBorder="1" applyAlignment="1">
      <alignment vertical="center"/>
    </xf>
    <xf numFmtId="0" fontId="33" fillId="6" borderId="0" xfId="11" applyFont="1" applyFill="1" applyAlignment="1">
      <alignment vertical="center"/>
    </xf>
    <xf numFmtId="0" fontId="28" fillId="6" borderId="30" xfId="11" applyFont="1" applyFill="1" applyBorder="1" applyAlignment="1">
      <alignment vertical="center"/>
    </xf>
    <xf numFmtId="0" fontId="35" fillId="6" borderId="46" xfId="7" applyNumberFormat="1" applyFont="1" applyFill="1" applyBorder="1" applyAlignment="1" applyProtection="1">
      <alignment horizontal="center" vertical="center"/>
      <protection locked="0"/>
    </xf>
    <xf numFmtId="164" fontId="35" fillId="6" borderId="46" xfId="7" applyNumberFormat="1" applyFont="1" applyFill="1" applyBorder="1" applyAlignment="1" applyProtection="1">
      <alignment horizontal="right" vertical="center"/>
      <protection locked="0"/>
    </xf>
    <xf numFmtId="2" fontId="28" fillId="6" borderId="46" xfId="12" applyNumberFormat="1" applyFont="1" applyFill="1" applyBorder="1" applyAlignment="1">
      <alignment horizontal="center" vertical="center"/>
    </xf>
    <xf numFmtId="164" fontId="28" fillId="6" borderId="91" xfId="7" applyNumberFormat="1" applyFont="1" applyFill="1" applyBorder="1" applyAlignment="1">
      <alignment vertical="center"/>
    </xf>
    <xf numFmtId="0" fontId="28" fillId="6" borderId="27" xfId="11" applyFont="1" applyFill="1" applyBorder="1" applyAlignment="1">
      <alignment vertical="center"/>
    </xf>
    <xf numFmtId="0" fontId="35" fillId="6" borderId="44" xfId="7" applyNumberFormat="1" applyFont="1" applyFill="1" applyBorder="1" applyAlignment="1" applyProtection="1">
      <alignment horizontal="center" vertical="center"/>
      <protection locked="0"/>
    </xf>
    <xf numFmtId="164" fontId="35" fillId="6" borderId="44" xfId="7" applyNumberFormat="1" applyFont="1" applyFill="1" applyBorder="1" applyAlignment="1" applyProtection="1">
      <alignment horizontal="right" vertical="center"/>
      <protection locked="0"/>
    </xf>
    <xf numFmtId="2" fontId="28" fillId="6" borderId="44" xfId="12" applyNumberFormat="1" applyFont="1" applyFill="1" applyBorder="1" applyAlignment="1">
      <alignment horizontal="center" vertical="center"/>
    </xf>
    <xf numFmtId="164" fontId="28" fillId="6" borderId="93" xfId="7" applyNumberFormat="1" applyFont="1" applyFill="1" applyBorder="1" applyAlignment="1">
      <alignment vertical="center"/>
    </xf>
    <xf numFmtId="0" fontId="35" fillId="6" borderId="94" xfId="7" applyNumberFormat="1" applyFont="1" applyFill="1" applyBorder="1" applyAlignment="1" applyProtection="1">
      <alignment horizontal="center" vertical="center"/>
      <protection locked="0"/>
    </xf>
    <xf numFmtId="164" fontId="35" fillId="6" borderId="94" xfId="7" applyNumberFormat="1" applyFont="1" applyFill="1" applyBorder="1" applyAlignment="1" applyProtection="1">
      <alignment horizontal="right" vertical="center"/>
      <protection locked="0"/>
    </xf>
    <xf numFmtId="2" fontId="28" fillId="6" borderId="94" xfId="12" applyNumberFormat="1" applyFont="1" applyFill="1" applyBorder="1" applyAlignment="1">
      <alignment horizontal="center" vertical="center"/>
    </xf>
    <xf numFmtId="164" fontId="28" fillId="6" borderId="95" xfId="7" applyNumberFormat="1" applyFont="1" applyFill="1" applyBorder="1" applyAlignment="1">
      <alignment vertical="center"/>
    </xf>
    <xf numFmtId="164" fontId="31" fillId="6" borderId="73" xfId="7" applyNumberFormat="1" applyFont="1" applyFill="1" applyBorder="1" applyAlignment="1">
      <alignment vertical="center"/>
    </xf>
    <xf numFmtId="164" fontId="31" fillId="6" borderId="0" xfId="11" applyNumberFormat="1" applyFont="1" applyFill="1" applyAlignment="1">
      <alignment horizontal="center" vertical="center"/>
    </xf>
    <xf numFmtId="10" fontId="31" fillId="6" borderId="0" xfId="11" applyNumberFormat="1" applyFont="1" applyFill="1" applyAlignment="1">
      <alignment horizontal="center" vertical="center"/>
    </xf>
    <xf numFmtId="0" fontId="32" fillId="10" borderId="9" xfId="11" applyFont="1" applyFill="1" applyBorder="1" applyAlignment="1">
      <alignment horizontal="center" vertical="center"/>
    </xf>
    <xf numFmtId="10" fontId="28" fillId="6" borderId="97" xfId="2" applyNumberFormat="1" applyFont="1" applyFill="1" applyBorder="1" applyAlignment="1">
      <alignment horizontal="center" vertical="center"/>
    </xf>
    <xf numFmtId="3" fontId="28" fillId="6" borderId="94" xfId="11" applyNumberFormat="1" applyFont="1" applyFill="1" applyBorder="1" applyAlignment="1">
      <alignment horizontal="center" vertical="center"/>
    </xf>
    <xf numFmtId="174" fontId="28" fillId="6" borderId="94" xfId="13" applyNumberFormat="1" applyFont="1" applyFill="1" applyBorder="1" applyAlignment="1">
      <alignment horizontal="right" vertical="center"/>
    </xf>
    <xf numFmtId="164" fontId="28" fillId="6" borderId="87" xfId="7" applyNumberFormat="1" applyFont="1" applyFill="1" applyBorder="1" applyAlignment="1">
      <alignment vertical="center"/>
    </xf>
    <xf numFmtId="164" fontId="29" fillId="6" borderId="73" xfId="7" applyNumberFormat="1" applyFont="1" applyFill="1" applyBorder="1" applyAlignment="1">
      <alignment horizontal="right" vertical="center"/>
    </xf>
    <xf numFmtId="0" fontId="39" fillId="6" borderId="0" xfId="14" applyFont="1" applyFill="1" applyAlignment="1">
      <alignment vertical="center"/>
    </xf>
    <xf numFmtId="0" fontId="33" fillId="6" borderId="30" xfId="11" applyFont="1" applyFill="1" applyBorder="1" applyAlignment="1">
      <alignment horizontal="center" vertical="center"/>
    </xf>
    <xf numFmtId="0" fontId="32" fillId="10" borderId="89" xfId="11" applyFont="1" applyFill="1" applyBorder="1" applyAlignment="1">
      <alignment horizontal="center" vertical="center" wrapText="1"/>
    </xf>
    <xf numFmtId="167" fontId="32" fillId="10" borderId="89" xfId="7" quotePrefix="1" applyFont="1" applyFill="1" applyBorder="1" applyAlignment="1">
      <alignment horizontal="center" vertical="center" wrapText="1"/>
    </xf>
    <xf numFmtId="0" fontId="32" fillId="10" borderId="90" xfId="11" applyFont="1" applyFill="1" applyBorder="1" applyAlignment="1">
      <alignment horizontal="center" vertical="center" wrapText="1"/>
    </xf>
    <xf numFmtId="0" fontId="33" fillId="6" borderId="27" xfId="11" applyFont="1" applyFill="1" applyBorder="1" applyAlignment="1">
      <alignment horizontal="center" vertical="center"/>
    </xf>
    <xf numFmtId="0" fontId="34" fillId="6" borderId="0" xfId="14" applyFont="1" applyFill="1" applyAlignment="1">
      <alignment horizontal="center" vertical="center"/>
    </xf>
    <xf numFmtId="0" fontId="33" fillId="6" borderId="0" xfId="11" applyFont="1" applyFill="1" applyAlignment="1">
      <alignment horizontal="center" vertical="center"/>
    </xf>
    <xf numFmtId="0" fontId="28" fillId="6" borderId="99" xfId="11" applyFont="1" applyFill="1" applyBorder="1" applyAlignment="1">
      <alignment horizontal="center" vertical="center"/>
    </xf>
    <xf numFmtId="164" fontId="28" fillId="6" borderId="99" xfId="12" applyNumberFormat="1" applyFont="1" applyFill="1" applyBorder="1" applyAlignment="1">
      <alignment vertical="center"/>
    </xf>
    <xf numFmtId="2" fontId="35" fillId="6" borderId="99" xfId="14" applyNumberFormat="1" applyFont="1" applyFill="1" applyBorder="1" applyAlignment="1">
      <alignment horizontal="center" vertical="center" wrapText="1"/>
    </xf>
    <xf numFmtId="164" fontId="35" fillId="6" borderId="100" xfId="15" applyNumberFormat="1" applyFont="1" applyFill="1" applyBorder="1" applyAlignment="1">
      <alignment vertical="center" wrapText="1"/>
    </xf>
    <xf numFmtId="10" fontId="28" fillId="6" borderId="94" xfId="11" applyNumberFormat="1" applyFont="1" applyFill="1" applyBorder="1" applyAlignment="1">
      <alignment horizontal="center" vertical="center"/>
    </xf>
    <xf numFmtId="164" fontId="28" fillId="6" borderId="94" xfId="12" applyNumberFormat="1" applyFont="1" applyFill="1" applyBorder="1" applyAlignment="1">
      <alignment vertical="center"/>
    </xf>
    <xf numFmtId="2" fontId="35" fillId="6" borderId="94" xfId="14" applyNumberFormat="1" applyFont="1" applyFill="1" applyBorder="1" applyAlignment="1">
      <alignment horizontal="center" vertical="center" wrapText="1"/>
    </xf>
    <xf numFmtId="164" fontId="35" fillId="6" borderId="95" xfId="15" applyNumberFormat="1" applyFont="1" applyFill="1" applyBorder="1" applyAlignment="1">
      <alignment vertical="center" wrapText="1"/>
    </xf>
    <xf numFmtId="164" fontId="29" fillId="6" borderId="73" xfId="7" applyNumberFormat="1" applyFont="1" applyFill="1" applyBorder="1" applyAlignment="1">
      <alignment vertical="center"/>
    </xf>
    <xf numFmtId="164" fontId="29" fillId="6" borderId="0" xfId="11" applyNumberFormat="1" applyFont="1" applyFill="1" applyAlignment="1">
      <alignment horizontal="center" vertical="center"/>
    </xf>
    <xf numFmtId="10" fontId="29" fillId="6" borderId="0" xfId="11" applyNumberFormat="1" applyFont="1" applyFill="1" applyAlignment="1">
      <alignment horizontal="center" vertical="center"/>
    </xf>
    <xf numFmtId="164" fontId="29" fillId="11" borderId="9" xfId="12" applyNumberFormat="1" applyFont="1" applyFill="1" applyBorder="1" applyAlignment="1">
      <alignment vertical="center"/>
    </xf>
    <xf numFmtId="164" fontId="27" fillId="6" borderId="0" xfId="11" applyNumberFormat="1" applyFont="1" applyFill="1" applyAlignment="1">
      <alignment vertical="center"/>
    </xf>
    <xf numFmtId="167" fontId="28" fillId="6" borderId="0" xfId="7" applyFont="1" applyFill="1" applyBorder="1" applyAlignment="1">
      <alignment vertical="center"/>
    </xf>
    <xf numFmtId="0" fontId="40" fillId="6" borderId="30" xfId="11" applyFont="1" applyFill="1" applyBorder="1" applyAlignment="1">
      <alignment vertical="center"/>
    </xf>
    <xf numFmtId="0" fontId="41" fillId="6" borderId="0" xfId="11" applyFont="1" applyFill="1" applyAlignment="1">
      <alignment vertical="center"/>
    </xf>
    <xf numFmtId="167" fontId="41" fillId="6" borderId="0" xfId="7" applyFont="1" applyFill="1" applyBorder="1" applyAlignment="1">
      <alignment horizontal="left" vertical="top"/>
    </xf>
    <xf numFmtId="9" fontId="40" fillId="6" borderId="9" xfId="11" applyNumberFormat="1" applyFont="1" applyFill="1" applyBorder="1" applyAlignment="1">
      <alignment vertical="center"/>
    </xf>
    <xf numFmtId="164" fontId="40" fillId="6" borderId="9" xfId="11" applyNumberFormat="1" applyFont="1" applyFill="1" applyBorder="1" applyAlignment="1">
      <alignment vertical="center"/>
    </xf>
    <xf numFmtId="0" fontId="40" fillId="6" borderId="27" xfId="11" applyFont="1" applyFill="1" applyBorder="1" applyAlignment="1">
      <alignment vertical="center"/>
    </xf>
    <xf numFmtId="0" fontId="40" fillId="6" borderId="0" xfId="11" applyFont="1" applyFill="1" applyAlignment="1">
      <alignment vertical="center"/>
    </xf>
    <xf numFmtId="164" fontId="40" fillId="6" borderId="0" xfId="11" applyNumberFormat="1" applyFont="1" applyFill="1" applyAlignment="1">
      <alignment vertical="center"/>
    </xf>
    <xf numFmtId="0" fontId="41" fillId="6" borderId="103" xfId="11" applyFont="1" applyFill="1" applyBorder="1" applyAlignment="1">
      <alignment horizontal="right" vertical="center"/>
    </xf>
    <xf numFmtId="167" fontId="41" fillId="6" borderId="104" xfId="7" applyFont="1" applyFill="1" applyBorder="1" applyAlignment="1">
      <alignment horizontal="right" vertical="top"/>
    </xf>
    <xf numFmtId="9" fontId="40" fillId="6" borderId="46" xfId="11" applyNumberFormat="1" applyFont="1" applyFill="1" applyBorder="1" applyAlignment="1">
      <alignment horizontal="right" vertical="center"/>
    </xf>
    <xf numFmtId="164" fontId="40" fillId="6" borderId="91" xfId="11" applyNumberFormat="1" applyFont="1" applyFill="1" applyBorder="1" applyAlignment="1">
      <alignment vertical="center"/>
    </xf>
    <xf numFmtId="9" fontId="40" fillId="6" borderId="44" xfId="11" applyNumberFormat="1" applyFont="1" applyFill="1" applyBorder="1" applyAlignment="1">
      <alignment horizontal="right" vertical="center"/>
    </xf>
    <xf numFmtId="164" fontId="40" fillId="6" borderId="93" xfId="11" applyNumberFormat="1" applyFont="1" applyFill="1" applyBorder="1" applyAlignment="1">
      <alignment vertical="center"/>
    </xf>
    <xf numFmtId="0" fontId="41" fillId="6" borderId="105" xfId="11" applyFont="1" applyFill="1" applyBorder="1" applyAlignment="1">
      <alignment horizontal="right" vertical="center"/>
    </xf>
    <xf numFmtId="167" fontId="41" fillId="6" borderId="106" xfId="7" applyFont="1" applyFill="1" applyBorder="1" applyAlignment="1">
      <alignment horizontal="right" vertical="top"/>
    </xf>
    <xf numFmtId="164" fontId="29" fillId="11" borderId="95" xfId="12" applyNumberFormat="1" applyFont="1" applyFill="1" applyBorder="1" applyAlignment="1">
      <alignment vertical="center"/>
    </xf>
    <xf numFmtId="164" fontId="29" fillId="9" borderId="9" xfId="12" applyNumberFormat="1" applyFont="1" applyFill="1" applyBorder="1" applyAlignment="1">
      <alignment vertical="center"/>
    </xf>
    <xf numFmtId="44" fontId="41" fillId="6" borderId="30" xfId="11" applyNumberFormat="1" applyFont="1" applyFill="1" applyBorder="1" applyAlignment="1">
      <alignment vertical="center"/>
    </xf>
    <xf numFmtId="0" fontId="41" fillId="6" borderId="27" xfId="11" applyFont="1" applyFill="1" applyBorder="1" applyAlignment="1">
      <alignment vertical="center"/>
    </xf>
    <xf numFmtId="0" fontId="27" fillId="6" borderId="72" xfId="11" applyFont="1" applyFill="1" applyBorder="1" applyAlignment="1">
      <alignment vertical="center"/>
    </xf>
    <xf numFmtId="0" fontId="27" fillId="6" borderId="74" xfId="11" applyFont="1" applyFill="1" applyBorder="1" applyAlignment="1">
      <alignment vertical="center"/>
    </xf>
    <xf numFmtId="0" fontId="28" fillId="6" borderId="74" xfId="11" applyFont="1" applyFill="1" applyBorder="1" applyAlignment="1">
      <alignment vertical="center"/>
    </xf>
    <xf numFmtId="167" fontId="28" fillId="6" borderId="74" xfId="7" applyFont="1" applyFill="1" applyBorder="1" applyAlignment="1">
      <alignment vertical="center"/>
    </xf>
    <xf numFmtId="0" fontId="27" fillId="6" borderId="19" xfId="11" applyFont="1" applyFill="1" applyBorder="1" applyAlignment="1">
      <alignment vertical="center"/>
    </xf>
    <xf numFmtId="0" fontId="43" fillId="11" borderId="10" xfId="16" applyFont="1" applyFill="1" applyBorder="1" applyAlignment="1">
      <alignment horizontal="center" vertical="center" wrapText="1"/>
    </xf>
    <xf numFmtId="44" fontId="44" fillId="11" borderId="10" xfId="3" applyFont="1" applyFill="1" applyBorder="1" applyAlignment="1">
      <alignment horizontal="center" vertical="center" wrapText="1"/>
    </xf>
    <xf numFmtId="44" fontId="43" fillId="11" borderId="114" xfId="3" applyFont="1" applyFill="1" applyBorder="1" applyAlignment="1">
      <alignment horizontal="center" vertical="center" wrapText="1"/>
    </xf>
    <xf numFmtId="2" fontId="33" fillId="10" borderId="84" xfId="11" applyNumberFormat="1" applyFont="1" applyFill="1" applyBorder="1" applyAlignment="1">
      <alignment horizontal="center" vertical="center"/>
    </xf>
    <xf numFmtId="171" fontId="28" fillId="6" borderId="46" xfId="12" applyNumberFormat="1" applyFont="1" applyFill="1" applyBorder="1" applyAlignment="1">
      <alignment horizontal="center" vertical="center"/>
    </xf>
    <xf numFmtId="3" fontId="28" fillId="6" borderId="116" xfId="11" applyNumberFormat="1" applyFont="1" applyFill="1" applyBorder="1" applyAlignment="1">
      <alignment horizontal="center" vertical="center"/>
    </xf>
    <xf numFmtId="174" fontId="28" fillId="6" borderId="116" xfId="13" applyNumberFormat="1" applyFont="1" applyFill="1" applyBorder="1" applyAlignment="1">
      <alignment horizontal="right" vertical="center"/>
    </xf>
    <xf numFmtId="10" fontId="28" fillId="6" borderId="117" xfId="2" applyNumberFormat="1" applyFont="1" applyFill="1" applyBorder="1" applyAlignment="1">
      <alignment horizontal="center" vertical="center"/>
    </xf>
    <xf numFmtId="171" fontId="28" fillId="6" borderId="46" xfId="2" applyNumberFormat="1" applyFont="1" applyFill="1" applyBorder="1" applyAlignment="1">
      <alignment horizontal="center" vertical="center"/>
    </xf>
    <xf numFmtId="0" fontId="28" fillId="6" borderId="117" xfId="2" applyNumberFormat="1" applyFont="1" applyFill="1" applyBorder="1" applyAlignment="1">
      <alignment horizontal="center" vertical="center"/>
    </xf>
    <xf numFmtId="2" fontId="2" fillId="2" borderId="14" xfId="0" applyNumberFormat="1" applyFont="1" applyFill="1" applyBorder="1" applyAlignment="1">
      <alignment vertical="center"/>
    </xf>
    <xf numFmtId="2" fontId="2" fillId="2" borderId="15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171" fontId="35" fillId="6" borderId="99" xfId="14" applyNumberFormat="1" applyFont="1" applyFill="1" applyBorder="1" applyAlignment="1">
      <alignment horizontal="center" vertical="center" wrapText="1"/>
    </xf>
    <xf numFmtId="172" fontId="35" fillId="6" borderId="99" xfId="14" applyNumberFormat="1" applyFont="1" applyFill="1" applyBorder="1" applyAlignment="1">
      <alignment horizontal="center" vertical="center" wrapText="1"/>
    </xf>
    <xf numFmtId="0" fontId="28" fillId="6" borderId="94" xfId="2" applyNumberFormat="1" applyFont="1" applyFill="1" applyBorder="1" applyAlignment="1">
      <alignment horizontal="center" vertical="center"/>
    </xf>
    <xf numFmtId="164" fontId="28" fillId="6" borderId="83" xfId="7" applyNumberFormat="1" applyFont="1" applyFill="1" applyBorder="1" applyAlignment="1">
      <alignment vertical="center"/>
    </xf>
    <xf numFmtId="164" fontId="28" fillId="6" borderId="100" xfId="7" applyNumberFormat="1" applyFont="1" applyFill="1" applyBorder="1" applyAlignment="1">
      <alignment vertical="center"/>
    </xf>
    <xf numFmtId="10" fontId="28" fillId="6" borderId="46" xfId="2" applyNumberFormat="1" applyFont="1" applyFill="1" applyBorder="1" applyAlignment="1">
      <alignment horizontal="center" vertical="center"/>
    </xf>
    <xf numFmtId="0" fontId="32" fillId="6" borderId="72" xfId="11" applyFont="1" applyFill="1" applyBorder="1" applyAlignment="1">
      <alignment horizontal="center" vertical="center" wrapText="1"/>
    </xf>
    <xf numFmtId="0" fontId="32" fillId="6" borderId="74" xfId="11" applyFont="1" applyFill="1" applyBorder="1" applyAlignment="1">
      <alignment horizontal="center" vertical="center" wrapText="1"/>
    </xf>
    <xf numFmtId="0" fontId="32" fillId="6" borderId="19" xfId="11" applyFont="1" applyFill="1" applyBorder="1" applyAlignment="1">
      <alignment horizontal="center" vertical="center" wrapText="1"/>
    </xf>
    <xf numFmtId="0" fontId="29" fillId="6" borderId="0" xfId="11" applyFont="1" applyFill="1" applyAlignment="1">
      <alignment horizontal="center" vertical="center"/>
    </xf>
    <xf numFmtId="0" fontId="29" fillId="6" borderId="9" xfId="11" applyFont="1" applyFill="1" applyBorder="1" applyAlignment="1">
      <alignment horizontal="center" vertical="center"/>
    </xf>
    <xf numFmtId="0" fontId="30" fillId="6" borderId="76" xfId="11" applyFont="1" applyFill="1" applyBorder="1" applyAlignment="1">
      <alignment horizontal="center" vertical="center" wrapText="1"/>
    </xf>
    <xf numFmtId="0" fontId="30" fillId="6" borderId="77" xfId="11" applyFont="1" applyFill="1" applyBorder="1" applyAlignment="1">
      <alignment horizontal="center" vertical="center" wrapText="1"/>
    </xf>
    <xf numFmtId="0" fontId="30" fillId="6" borderId="22" xfId="11" applyFont="1" applyFill="1" applyBorder="1" applyAlignment="1">
      <alignment horizontal="center" vertical="center" wrapText="1"/>
    </xf>
    <xf numFmtId="0" fontId="30" fillId="6" borderId="30" xfId="11" applyFont="1" applyFill="1" applyBorder="1" applyAlignment="1">
      <alignment horizontal="center" vertical="center" wrapText="1"/>
    </xf>
    <xf numFmtId="0" fontId="30" fillId="6" borderId="0" xfId="11" applyFont="1" applyFill="1" applyAlignment="1">
      <alignment horizontal="center" vertical="center" wrapText="1"/>
    </xf>
    <xf numFmtId="0" fontId="30" fillId="6" borderId="27" xfId="11" applyFont="1" applyFill="1" applyBorder="1" applyAlignment="1">
      <alignment horizontal="center" vertical="center" wrapText="1"/>
    </xf>
    <xf numFmtId="0" fontId="30" fillId="6" borderId="72" xfId="11" applyFont="1" applyFill="1" applyBorder="1" applyAlignment="1">
      <alignment horizontal="center" vertical="center" wrapText="1"/>
    </xf>
    <xf numFmtId="0" fontId="30" fillId="6" borderId="74" xfId="11" applyFont="1" applyFill="1" applyBorder="1" applyAlignment="1">
      <alignment horizontal="center" vertical="center" wrapText="1"/>
    </xf>
    <xf numFmtId="0" fontId="30" fillId="6" borderId="19" xfId="11" applyFont="1" applyFill="1" applyBorder="1" applyAlignment="1">
      <alignment horizontal="center" vertical="center" wrapText="1"/>
    </xf>
    <xf numFmtId="0" fontId="31" fillId="6" borderId="76" xfId="11" applyFont="1" applyFill="1" applyBorder="1" applyAlignment="1">
      <alignment horizontal="center" vertical="center"/>
    </xf>
    <xf numFmtId="0" fontId="31" fillId="6" borderId="22" xfId="11" applyFont="1" applyFill="1" applyBorder="1" applyAlignment="1">
      <alignment horizontal="center" vertical="center"/>
    </xf>
    <xf numFmtId="0" fontId="31" fillId="6" borderId="30" xfId="11" applyFont="1" applyFill="1" applyBorder="1" applyAlignment="1">
      <alignment horizontal="center" vertical="center"/>
    </xf>
    <xf numFmtId="0" fontId="31" fillId="6" borderId="27" xfId="11" applyFont="1" applyFill="1" applyBorder="1" applyAlignment="1">
      <alignment horizontal="center" vertical="center"/>
    </xf>
    <xf numFmtId="0" fontId="31" fillId="6" borderId="72" xfId="11" applyFont="1" applyFill="1" applyBorder="1" applyAlignment="1">
      <alignment horizontal="center" vertical="center"/>
    </xf>
    <xf numFmtId="0" fontId="31" fillId="6" borderId="19" xfId="11" applyFont="1" applyFill="1" applyBorder="1" applyAlignment="1">
      <alignment horizontal="center" vertical="center"/>
    </xf>
    <xf numFmtId="0" fontId="28" fillId="6" borderId="78" xfId="7" applyNumberFormat="1" applyFont="1" applyFill="1" applyBorder="1" applyAlignment="1">
      <alignment vertical="center" wrapText="1"/>
    </xf>
    <xf numFmtId="0" fontId="28" fillId="6" borderId="107" xfId="7" applyNumberFormat="1" applyFont="1" applyFill="1" applyBorder="1" applyAlignment="1">
      <alignment vertical="center" wrapText="1"/>
    </xf>
    <xf numFmtId="0" fontId="28" fillId="6" borderId="115" xfId="7" applyNumberFormat="1" applyFont="1" applyFill="1" applyBorder="1" applyAlignment="1">
      <alignment vertical="center" wrapText="1"/>
    </xf>
    <xf numFmtId="170" fontId="32" fillId="10" borderId="76" xfId="11" applyNumberFormat="1" applyFont="1" applyFill="1" applyBorder="1" applyAlignment="1">
      <alignment horizontal="center" vertical="center"/>
    </xf>
    <xf numFmtId="170" fontId="32" fillId="10" borderId="77" xfId="11" applyNumberFormat="1" applyFont="1" applyFill="1" applyBorder="1" applyAlignment="1">
      <alignment horizontal="center" vertical="center"/>
    </xf>
    <xf numFmtId="170" fontId="32" fillId="10" borderId="22" xfId="11" applyNumberFormat="1" applyFont="1" applyFill="1" applyBorder="1" applyAlignment="1">
      <alignment horizontal="center" vertical="center"/>
    </xf>
    <xf numFmtId="170" fontId="33" fillId="10" borderId="72" xfId="11" applyNumberFormat="1" applyFont="1" applyFill="1" applyBorder="1" applyAlignment="1">
      <alignment horizontal="center" vertical="center"/>
    </xf>
    <xf numFmtId="170" fontId="33" fillId="10" borderId="74" xfId="11" applyNumberFormat="1" applyFont="1" applyFill="1" applyBorder="1" applyAlignment="1">
      <alignment horizontal="center" vertical="center"/>
    </xf>
    <xf numFmtId="170" fontId="33" fillId="10" borderId="19" xfId="11" applyNumberFormat="1" applyFont="1" applyFill="1" applyBorder="1" applyAlignment="1">
      <alignment horizontal="center" vertical="center"/>
    </xf>
    <xf numFmtId="170" fontId="32" fillId="10" borderId="81" xfId="11" applyNumberFormat="1" applyFont="1" applyFill="1" applyBorder="1" applyAlignment="1">
      <alignment horizontal="center" vertical="center" wrapText="1"/>
    </xf>
    <xf numFmtId="170" fontId="32" fillId="10" borderId="77" xfId="11" applyNumberFormat="1" applyFont="1" applyFill="1" applyBorder="1" applyAlignment="1">
      <alignment horizontal="center" vertical="center" wrapText="1"/>
    </xf>
    <xf numFmtId="170" fontId="32" fillId="10" borderId="82" xfId="11" applyNumberFormat="1" applyFont="1" applyFill="1" applyBorder="1" applyAlignment="1">
      <alignment horizontal="center" vertical="center" wrapText="1"/>
    </xf>
    <xf numFmtId="170" fontId="32" fillId="10" borderId="85" xfId="11" applyNumberFormat="1" applyFont="1" applyFill="1" applyBorder="1" applyAlignment="1">
      <alignment horizontal="center" vertical="center" wrapText="1"/>
    </xf>
    <xf numFmtId="170" fontId="32" fillId="10" borderId="74" xfId="11" applyNumberFormat="1" applyFont="1" applyFill="1" applyBorder="1" applyAlignment="1">
      <alignment horizontal="center" vertical="center" wrapText="1"/>
    </xf>
    <xf numFmtId="170" fontId="32" fillId="10" borderId="86" xfId="11" applyNumberFormat="1" applyFont="1" applyFill="1" applyBorder="1" applyAlignment="1">
      <alignment horizontal="center" vertical="center" wrapText="1"/>
    </xf>
    <xf numFmtId="0" fontId="32" fillId="10" borderId="83" xfId="11" applyFont="1" applyFill="1" applyBorder="1" applyAlignment="1">
      <alignment horizontal="center" vertical="center" wrapText="1"/>
    </xf>
    <xf numFmtId="0" fontId="32" fillId="10" borderId="87" xfId="11" applyFont="1" applyFill="1" applyBorder="1" applyAlignment="1">
      <alignment horizontal="center" vertical="center" wrapText="1"/>
    </xf>
    <xf numFmtId="170" fontId="34" fillId="10" borderId="81" xfId="11" applyNumberFormat="1" applyFont="1" applyFill="1" applyBorder="1" applyAlignment="1">
      <alignment horizontal="center" vertical="center" wrapText="1"/>
    </xf>
    <xf numFmtId="170" fontId="33" fillId="10" borderId="77" xfId="11" applyNumberFormat="1" applyFont="1" applyFill="1" applyBorder="1" applyAlignment="1">
      <alignment horizontal="center" vertical="center" wrapText="1"/>
    </xf>
    <xf numFmtId="170" fontId="33" fillId="10" borderId="82" xfId="11" applyNumberFormat="1" applyFont="1" applyFill="1" applyBorder="1" applyAlignment="1">
      <alignment horizontal="center" vertical="center" wrapText="1"/>
    </xf>
    <xf numFmtId="170" fontId="33" fillId="10" borderId="85" xfId="11" applyNumberFormat="1" applyFont="1" applyFill="1" applyBorder="1" applyAlignment="1">
      <alignment horizontal="center" vertical="center" wrapText="1"/>
    </xf>
    <xf numFmtId="170" fontId="33" fillId="10" borderId="74" xfId="11" applyNumberFormat="1" applyFont="1" applyFill="1" applyBorder="1" applyAlignment="1">
      <alignment horizontal="center" vertical="center" wrapText="1"/>
    </xf>
    <xf numFmtId="170" fontId="33" fillId="10" borderId="86" xfId="11" applyNumberFormat="1" applyFont="1" applyFill="1" applyBorder="1" applyAlignment="1">
      <alignment horizontal="center" vertical="center" wrapText="1"/>
    </xf>
    <xf numFmtId="0" fontId="34" fillId="10" borderId="83" xfId="11" applyFont="1" applyFill="1" applyBorder="1" applyAlignment="1">
      <alignment horizontal="center" vertical="center" wrapText="1"/>
    </xf>
    <xf numFmtId="0" fontId="33" fillId="10" borderId="87" xfId="11" applyFont="1" applyFill="1" applyBorder="1" applyAlignment="1">
      <alignment horizontal="center" vertical="center" wrapText="1"/>
    </xf>
    <xf numFmtId="0" fontId="29" fillId="6" borderId="74" xfId="11" applyFont="1" applyFill="1" applyBorder="1" applyAlignment="1">
      <alignment horizontal="center" vertical="center"/>
    </xf>
    <xf numFmtId="0" fontId="29" fillId="10" borderId="11" xfId="11" applyFont="1" applyFill="1" applyBorder="1" applyAlignment="1">
      <alignment horizontal="left" vertical="center"/>
    </xf>
    <xf numFmtId="0" fontId="29" fillId="10" borderId="12" xfId="11" applyFont="1" applyFill="1" applyBorder="1" applyAlignment="1">
      <alignment horizontal="left" vertical="center"/>
    </xf>
    <xf numFmtId="0" fontId="29" fillId="10" borderId="34" xfId="11" applyFont="1" applyFill="1" applyBorder="1" applyAlignment="1">
      <alignment horizontal="left" vertical="center"/>
    </xf>
    <xf numFmtId="0" fontId="32" fillId="10" borderId="88" xfId="11" applyFont="1" applyFill="1" applyBorder="1" applyAlignment="1">
      <alignment horizontal="center" vertical="center"/>
    </xf>
    <xf numFmtId="0" fontId="32" fillId="10" borderId="89" xfId="11" applyFont="1" applyFill="1" applyBorder="1" applyAlignment="1">
      <alignment horizontal="center" vertical="center"/>
    </xf>
    <xf numFmtId="0" fontId="28" fillId="6" borderId="84" xfId="11" applyFont="1" applyFill="1" applyBorder="1" applyAlignment="1">
      <alignment horizontal="left" vertical="center" wrapText="1"/>
    </xf>
    <xf numFmtId="0" fontId="28" fillId="6" borderId="94" xfId="11" applyFont="1" applyFill="1" applyBorder="1" applyAlignment="1">
      <alignment vertical="center" wrapText="1"/>
    </xf>
    <xf numFmtId="167" fontId="28" fillId="6" borderId="96" xfId="7" applyFont="1" applyFill="1" applyBorder="1" applyAlignment="1">
      <alignment vertical="center" wrapText="1"/>
    </xf>
    <xf numFmtId="167" fontId="28" fillId="6" borderId="60" xfId="7" applyFont="1" applyFill="1" applyBorder="1" applyAlignment="1">
      <alignment vertical="center" wrapText="1"/>
    </xf>
    <xf numFmtId="167" fontId="28" fillId="6" borderId="61" xfId="7" applyFont="1" applyFill="1" applyBorder="1" applyAlignment="1">
      <alignment vertical="center" wrapText="1"/>
    </xf>
    <xf numFmtId="167" fontId="28" fillId="6" borderId="92" xfId="7" applyFont="1" applyFill="1" applyBorder="1" applyAlignment="1">
      <alignment vertical="center" wrapText="1"/>
    </xf>
    <xf numFmtId="167" fontId="28" fillId="6" borderId="44" xfId="7" applyFont="1" applyFill="1" applyBorder="1" applyAlignment="1">
      <alignment vertical="center" wrapText="1"/>
    </xf>
    <xf numFmtId="167" fontId="28" fillId="6" borderId="84" xfId="7" applyFont="1" applyFill="1" applyBorder="1" applyAlignment="1">
      <alignment vertical="center" wrapText="1"/>
    </xf>
    <xf numFmtId="167" fontId="28" fillId="6" borderId="94" xfId="7" applyFont="1" applyFill="1" applyBorder="1" applyAlignment="1">
      <alignment vertical="center" wrapText="1"/>
    </xf>
    <xf numFmtId="0" fontId="36" fillId="6" borderId="0" xfId="11" applyFont="1" applyFill="1" applyAlignment="1">
      <alignment horizontal="right" vertical="center"/>
    </xf>
    <xf numFmtId="0" fontId="37" fillId="6" borderId="27" xfId="11" applyFont="1" applyFill="1" applyBorder="1" applyAlignment="1">
      <alignment horizontal="right" vertical="center"/>
    </xf>
    <xf numFmtId="0" fontId="32" fillId="10" borderId="9" xfId="11" applyFont="1" applyFill="1" applyBorder="1" applyAlignment="1">
      <alignment horizontal="center" vertical="center"/>
    </xf>
    <xf numFmtId="0" fontId="28" fillId="6" borderId="78" xfId="11" applyFont="1" applyFill="1" applyBorder="1" applyAlignment="1">
      <alignment horizontal="left" vertical="center" wrapText="1"/>
    </xf>
    <xf numFmtId="0" fontId="28" fillId="6" borderId="107" xfId="11" applyFont="1" applyFill="1" applyBorder="1" applyAlignment="1">
      <alignment horizontal="left" vertical="center" wrapText="1"/>
    </xf>
    <xf numFmtId="0" fontId="28" fillId="6" borderId="115" xfId="11" applyFont="1" applyFill="1" applyBorder="1" applyAlignment="1">
      <alignment horizontal="left" vertical="center" wrapText="1"/>
    </xf>
    <xf numFmtId="0" fontId="41" fillId="6" borderId="11" xfId="11" applyFont="1" applyFill="1" applyBorder="1" applyAlignment="1">
      <alignment horizontal="right" vertical="center"/>
    </xf>
    <xf numFmtId="0" fontId="41" fillId="6" borderId="12" xfId="11" applyFont="1" applyFill="1" applyBorder="1" applyAlignment="1">
      <alignment horizontal="right" vertical="center"/>
    </xf>
    <xf numFmtId="0" fontId="41" fillId="6" borderId="34" xfId="11" applyFont="1" applyFill="1" applyBorder="1" applyAlignment="1">
      <alignment horizontal="right" vertical="center"/>
    </xf>
    <xf numFmtId="0" fontId="38" fillId="6" borderId="0" xfId="11" applyFont="1" applyFill="1" applyAlignment="1">
      <alignment horizontal="right" vertical="center"/>
    </xf>
    <xf numFmtId="0" fontId="38" fillId="6" borderId="27" xfId="11" applyFont="1" applyFill="1" applyBorder="1" applyAlignment="1">
      <alignment horizontal="right" vertical="center"/>
    </xf>
    <xf numFmtId="0" fontId="29" fillId="10" borderId="88" xfId="11" applyFont="1" applyFill="1" applyBorder="1" applyAlignment="1">
      <alignment horizontal="left" vertical="center"/>
    </xf>
    <xf numFmtId="0" fontId="29" fillId="10" borderId="89" xfId="11" applyFont="1" applyFill="1" applyBorder="1" applyAlignment="1">
      <alignment horizontal="left" vertical="center"/>
    </xf>
    <xf numFmtId="0" fontId="29" fillId="10" borderId="90" xfId="11" applyFont="1" applyFill="1" applyBorder="1" applyAlignment="1">
      <alignment horizontal="left" vertical="center"/>
    </xf>
    <xf numFmtId="0" fontId="32" fillId="10" borderId="88" xfId="11" applyFont="1" applyFill="1" applyBorder="1" applyAlignment="1">
      <alignment horizontal="center" vertical="center" wrapText="1"/>
    </xf>
    <xf numFmtId="0" fontId="32" fillId="10" borderId="89" xfId="11" applyFont="1" applyFill="1" applyBorder="1" applyAlignment="1">
      <alignment horizontal="center" vertical="center" wrapText="1"/>
    </xf>
    <xf numFmtId="175" fontId="28" fillId="6" borderId="98" xfId="11" applyNumberFormat="1" applyFont="1" applyFill="1" applyBorder="1" applyAlignment="1">
      <alignment horizontal="left" vertical="center" wrapText="1"/>
    </xf>
    <xf numFmtId="175" fontId="28" fillId="6" borderId="99" xfId="11" applyNumberFormat="1" applyFont="1" applyFill="1" applyBorder="1" applyAlignment="1">
      <alignment horizontal="left" vertical="center" wrapText="1"/>
    </xf>
    <xf numFmtId="175" fontId="28" fillId="6" borderId="96" xfId="11" applyNumberFormat="1" applyFont="1" applyFill="1" applyBorder="1" applyAlignment="1">
      <alignment horizontal="left" vertical="center" wrapText="1"/>
    </xf>
    <xf numFmtId="175" fontId="28" fillId="6" borderId="60" xfId="11" applyNumberFormat="1" applyFont="1" applyFill="1" applyBorder="1" applyAlignment="1">
      <alignment horizontal="left" vertical="center" wrapText="1"/>
    </xf>
    <xf numFmtId="175" fontId="28" fillId="6" borderId="61" xfId="11" applyNumberFormat="1" applyFont="1" applyFill="1" applyBorder="1" applyAlignment="1">
      <alignment horizontal="left" vertical="center" wrapText="1"/>
    </xf>
    <xf numFmtId="175" fontId="28" fillId="6" borderId="79" xfId="11" applyNumberFormat="1" applyFont="1" applyFill="1" applyBorder="1" applyAlignment="1">
      <alignment horizontal="left" vertical="center" wrapText="1"/>
    </xf>
    <xf numFmtId="175" fontId="28" fillId="6" borderId="101" xfId="11" applyNumberFormat="1" applyFont="1" applyFill="1" applyBorder="1" applyAlignment="1">
      <alignment horizontal="left" vertical="center" wrapText="1"/>
    </xf>
    <xf numFmtId="175" fontId="28" fillId="6" borderId="102" xfId="11" applyNumberFormat="1" applyFont="1" applyFill="1" applyBorder="1" applyAlignment="1">
      <alignment horizontal="left" vertical="center" wrapText="1"/>
    </xf>
    <xf numFmtId="0" fontId="38" fillId="6" borderId="77" xfId="11" applyFont="1" applyFill="1" applyBorder="1" applyAlignment="1">
      <alignment horizontal="right" vertical="center"/>
    </xf>
    <xf numFmtId="0" fontId="38" fillId="6" borderId="22" xfId="11" applyFont="1" applyFill="1" applyBorder="1" applyAlignment="1">
      <alignment horizontal="right" vertical="center"/>
    </xf>
    <xf numFmtId="0" fontId="38" fillId="11" borderId="11" xfId="11" applyFont="1" applyFill="1" applyBorder="1" applyAlignment="1">
      <alignment horizontal="right" vertical="center"/>
    </xf>
    <xf numFmtId="0" fontId="38" fillId="11" borderId="12" xfId="11" applyFont="1" applyFill="1" applyBorder="1" applyAlignment="1">
      <alignment horizontal="right" vertical="center"/>
    </xf>
    <xf numFmtId="0" fontId="38" fillId="11" borderId="34" xfId="11" applyFont="1" applyFill="1" applyBorder="1" applyAlignment="1">
      <alignment horizontal="right" vertical="center"/>
    </xf>
    <xf numFmtId="44" fontId="41" fillId="6" borderId="96" xfId="11" applyNumberFormat="1" applyFont="1" applyFill="1" applyBorder="1" applyAlignment="1">
      <alignment horizontal="center" vertical="center"/>
    </xf>
    <xf numFmtId="0" fontId="41" fillId="6" borderId="60" xfId="11" applyFont="1" applyFill="1" applyBorder="1" applyAlignment="1">
      <alignment horizontal="center" vertical="center"/>
    </xf>
    <xf numFmtId="0" fontId="41" fillId="6" borderId="109" xfId="11" applyFont="1" applyFill="1" applyBorder="1" applyAlignment="1">
      <alignment horizontal="center" vertical="center"/>
    </xf>
    <xf numFmtId="44" fontId="41" fillId="6" borderId="30" xfId="11" applyNumberFormat="1" applyFont="1" applyFill="1" applyBorder="1" applyAlignment="1">
      <alignment horizontal="center" vertical="center"/>
    </xf>
    <xf numFmtId="44" fontId="41" fillId="6" borderId="0" xfId="11" applyNumberFormat="1" applyFont="1" applyFill="1" applyAlignment="1">
      <alignment horizontal="center" vertical="center"/>
    </xf>
    <xf numFmtId="44" fontId="41" fillId="6" borderId="27" xfId="11" applyNumberFormat="1" applyFont="1" applyFill="1" applyBorder="1" applyAlignment="1">
      <alignment horizontal="center" vertical="center"/>
    </xf>
    <xf numFmtId="0" fontId="41" fillId="6" borderId="80" xfId="11" applyFont="1" applyFill="1" applyBorder="1" applyAlignment="1">
      <alignment horizontal="right" vertical="center"/>
    </xf>
    <xf numFmtId="0" fontId="41" fillId="6" borderId="46" xfId="11" applyFont="1" applyFill="1" applyBorder="1" applyAlignment="1">
      <alignment horizontal="right" vertical="center"/>
    </xf>
    <xf numFmtId="0" fontId="41" fillId="6" borderId="92" xfId="11" applyFont="1" applyFill="1" applyBorder="1" applyAlignment="1">
      <alignment horizontal="right" vertical="center"/>
    </xf>
    <xf numFmtId="0" fontId="41" fillId="6" borderId="44" xfId="11" applyFont="1" applyFill="1" applyBorder="1" applyAlignment="1">
      <alignment horizontal="right" vertical="center"/>
    </xf>
    <xf numFmtId="0" fontId="38" fillId="11" borderId="84" xfId="11" applyFont="1" applyFill="1" applyBorder="1" applyAlignment="1">
      <alignment horizontal="right" vertical="center"/>
    </xf>
    <xf numFmtId="0" fontId="38" fillId="11" borderId="94" xfId="11" applyFont="1" applyFill="1" applyBorder="1" applyAlignment="1">
      <alignment horizontal="right" vertical="center"/>
    </xf>
    <xf numFmtId="0" fontId="41" fillId="6" borderId="0" xfId="11" applyFont="1" applyFill="1" applyAlignment="1">
      <alignment horizontal="center" vertical="center"/>
    </xf>
    <xf numFmtId="0" fontId="38" fillId="9" borderId="11" xfId="11" applyFont="1" applyFill="1" applyBorder="1" applyAlignment="1">
      <alignment horizontal="right" vertical="center"/>
    </xf>
    <xf numFmtId="0" fontId="38" fillId="9" borderId="12" xfId="11" applyFont="1" applyFill="1" applyBorder="1" applyAlignment="1">
      <alignment horizontal="right" vertical="center"/>
    </xf>
    <xf numFmtId="0" fontId="38" fillId="9" borderId="34" xfId="11" applyFont="1" applyFill="1" applyBorder="1" applyAlignment="1">
      <alignment horizontal="right" vertical="center"/>
    </xf>
    <xf numFmtId="0" fontId="37" fillId="6" borderId="78" xfId="11" applyFont="1" applyFill="1" applyBorder="1" applyAlignment="1">
      <alignment horizontal="left" vertical="center"/>
    </xf>
    <xf numFmtId="0" fontId="37" fillId="6" borderId="107" xfId="11" applyFont="1" applyFill="1" applyBorder="1" applyAlignment="1">
      <alignment horizontal="left" vertical="center"/>
    </xf>
    <xf numFmtId="0" fontId="37" fillId="6" borderId="108" xfId="11" applyFont="1" applyFill="1" applyBorder="1" applyAlignment="1">
      <alignment horizontal="left" vertical="center"/>
    </xf>
    <xf numFmtId="0" fontId="41" fillId="6" borderId="76" xfId="11" applyFont="1" applyFill="1" applyBorder="1" applyAlignment="1">
      <alignment horizontal="center" vertical="center"/>
    </xf>
    <xf numFmtId="0" fontId="41" fillId="6" borderId="77" xfId="11" applyFont="1" applyFill="1" applyBorder="1" applyAlignment="1">
      <alignment horizontal="center" vertical="center"/>
    </xf>
    <xf numFmtId="0" fontId="41" fillId="6" borderId="22" xfId="11" applyFont="1" applyFill="1" applyBorder="1" applyAlignment="1">
      <alignment horizontal="center" vertical="center"/>
    </xf>
    <xf numFmtId="44" fontId="41" fillId="6" borderId="79" xfId="11" applyNumberFormat="1" applyFont="1" applyFill="1" applyBorder="1" applyAlignment="1">
      <alignment horizontal="center" vertical="center"/>
    </xf>
    <xf numFmtId="0" fontId="41" fillId="6" borderId="101" xfId="11" applyFont="1" applyFill="1" applyBorder="1" applyAlignment="1">
      <alignment horizontal="center" vertical="center"/>
    </xf>
    <xf numFmtId="0" fontId="41" fillId="6" borderId="112" xfId="11" applyFont="1" applyFill="1" applyBorder="1" applyAlignment="1">
      <alignment horizontal="center" vertical="center"/>
    </xf>
    <xf numFmtId="44" fontId="41" fillId="6" borderId="72" xfId="11" applyNumberFormat="1" applyFont="1" applyFill="1" applyBorder="1" applyAlignment="1">
      <alignment horizontal="center" vertical="center"/>
    </xf>
    <xf numFmtId="0" fontId="41" fillId="6" borderId="74" xfId="11" applyFont="1" applyFill="1" applyBorder="1" applyAlignment="1">
      <alignment horizontal="center" vertical="center"/>
    </xf>
    <xf numFmtId="0" fontId="41" fillId="6" borderId="19" xfId="11" applyFont="1" applyFill="1" applyBorder="1" applyAlignment="1">
      <alignment horizontal="center" vertical="center"/>
    </xf>
    <xf numFmtId="0" fontId="41" fillId="6" borderId="27" xfId="11" applyFont="1" applyFill="1" applyBorder="1" applyAlignment="1">
      <alignment horizontal="center" vertical="center"/>
    </xf>
    <xf numFmtId="44" fontId="41" fillId="6" borderId="110" xfId="11" applyNumberFormat="1" applyFont="1" applyFill="1" applyBorder="1" applyAlignment="1">
      <alignment horizontal="center" vertical="center"/>
    </xf>
    <xf numFmtId="0" fontId="41" fillId="6" borderId="53" xfId="11" applyFont="1" applyFill="1" applyBorder="1" applyAlignment="1">
      <alignment horizontal="center" vertical="center"/>
    </xf>
    <xf numFmtId="0" fontId="41" fillId="6" borderId="111" xfId="11" applyFont="1" applyFill="1" applyBorder="1" applyAlignment="1">
      <alignment horizontal="center" vertical="center"/>
    </xf>
    <xf numFmtId="0" fontId="21" fillId="9" borderId="38" xfId="0" applyFont="1" applyFill="1" applyBorder="1" applyAlignment="1">
      <alignment horizontal="center" vertical="center" wrapText="1"/>
    </xf>
    <xf numFmtId="0" fontId="21" fillId="9" borderId="39" xfId="0" applyFont="1" applyFill="1" applyBorder="1" applyAlignment="1">
      <alignment horizontal="center" vertical="center" wrapText="1"/>
    </xf>
    <xf numFmtId="0" fontId="21" fillId="9" borderId="40" xfId="0" applyFont="1" applyFill="1" applyBorder="1" applyAlignment="1">
      <alignment horizontal="center" vertical="center" wrapText="1"/>
    </xf>
    <xf numFmtId="0" fontId="21" fillId="9" borderId="18" xfId="0" applyFont="1" applyFill="1" applyBorder="1" applyAlignment="1">
      <alignment horizontal="center" vertical="center" wrapText="1"/>
    </xf>
    <xf numFmtId="0" fontId="21" fillId="9" borderId="0" xfId="0" applyFont="1" applyFill="1" applyAlignment="1">
      <alignment horizontal="center" vertical="center" wrapText="1"/>
    </xf>
    <xf numFmtId="0" fontId="21" fillId="9" borderId="29" xfId="0" applyFont="1" applyFill="1" applyBorder="1" applyAlignment="1">
      <alignment horizontal="center" vertical="center" wrapText="1"/>
    </xf>
    <xf numFmtId="0" fontId="21" fillId="9" borderId="35" xfId="0" applyFont="1" applyFill="1" applyBorder="1" applyAlignment="1">
      <alignment horizontal="center" vertical="center" wrapText="1"/>
    </xf>
    <xf numFmtId="0" fontId="21" fillId="9" borderId="36" xfId="0" applyFont="1" applyFill="1" applyBorder="1" applyAlignment="1">
      <alignment horizontal="center" vertical="center" wrapText="1"/>
    </xf>
    <xf numFmtId="0" fontId="21" fillId="9" borderId="37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2" fontId="2" fillId="4" borderId="14" xfId="0" applyNumberFormat="1" applyFont="1" applyFill="1" applyBorder="1" applyAlignment="1">
      <alignment horizontal="right" vertical="center"/>
    </xf>
    <xf numFmtId="2" fontId="2" fillId="4" borderId="15" xfId="0" applyNumberFormat="1" applyFont="1" applyFill="1" applyBorder="1" applyAlignment="1">
      <alignment horizontal="right" vertical="center"/>
    </xf>
    <xf numFmtId="2" fontId="2" fillId="4" borderId="15" xfId="0" applyNumberFormat="1" applyFont="1" applyFill="1" applyBorder="1" applyAlignment="1">
      <alignment horizontal="left" vertical="center"/>
    </xf>
    <xf numFmtId="2" fontId="2" fillId="4" borderId="17" xfId="0" applyNumberFormat="1" applyFont="1" applyFill="1" applyBorder="1" applyAlignment="1">
      <alignment horizontal="left" vertical="center"/>
    </xf>
    <xf numFmtId="2" fontId="4" fillId="0" borderId="2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23" xfId="0" applyNumberFormat="1" applyFont="1" applyBorder="1" applyAlignment="1">
      <alignment horizontal="right" vertical="center"/>
    </xf>
    <xf numFmtId="2" fontId="4" fillId="0" borderId="24" xfId="0" applyNumberFormat="1" applyFont="1" applyBorder="1" applyAlignment="1">
      <alignment horizontal="right" vertical="center"/>
    </xf>
    <xf numFmtId="2" fontId="4" fillId="2" borderId="14" xfId="0" applyNumberFormat="1" applyFont="1" applyFill="1" applyBorder="1" applyAlignment="1">
      <alignment horizontal="right" vertical="center"/>
    </xf>
    <xf numFmtId="2" fontId="4" fillId="2" borderId="15" xfId="0" applyNumberFormat="1" applyFont="1" applyFill="1" applyBorder="1" applyAlignment="1">
      <alignment horizontal="right" vertical="center"/>
    </xf>
    <xf numFmtId="2" fontId="4" fillId="2" borderId="15" xfId="0" applyNumberFormat="1" applyFont="1" applyFill="1" applyBorder="1" applyAlignment="1">
      <alignment horizontal="left" vertical="center"/>
    </xf>
    <xf numFmtId="2" fontId="4" fillId="2" borderId="17" xfId="0" applyNumberFormat="1" applyFont="1" applyFill="1" applyBorder="1" applyAlignment="1">
      <alignment horizontal="left" vertical="center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/>
    </xf>
    <xf numFmtId="2" fontId="2" fillId="2" borderId="17" xfId="0" applyNumberFormat="1" applyFont="1" applyFill="1" applyBorder="1" applyAlignment="1">
      <alignment horizontal="center" vertical="center"/>
    </xf>
    <xf numFmtId="2" fontId="2" fillId="2" borderId="15" xfId="0" applyNumberFormat="1" applyFont="1" applyFill="1" applyBorder="1" applyAlignment="1">
      <alignment horizontal="right" vertical="center"/>
    </xf>
    <xf numFmtId="2" fontId="2" fillId="2" borderId="17" xfId="0" applyNumberFormat="1" applyFont="1" applyFill="1" applyBorder="1" applyAlignment="1">
      <alignment horizontal="right" vertical="center"/>
    </xf>
    <xf numFmtId="0" fontId="44" fillId="11" borderId="21" xfId="16" applyFont="1" applyFill="1" applyBorder="1" applyAlignment="1">
      <alignment horizontal="center" vertical="center" wrapText="1"/>
    </xf>
    <xf numFmtId="0" fontId="44" fillId="11" borderId="12" xfId="16" applyFont="1" applyFill="1" applyBorder="1" applyAlignment="1">
      <alignment horizontal="center" vertical="center" wrapText="1"/>
    </xf>
    <xf numFmtId="0" fontId="44" fillId="11" borderId="34" xfId="16" applyFont="1" applyFill="1" applyBorder="1" applyAlignment="1">
      <alignment horizontal="center" vertical="center" wrapText="1"/>
    </xf>
    <xf numFmtId="0" fontId="43" fillId="11" borderId="23" xfId="16" applyFont="1" applyFill="1" applyBorder="1" applyAlignment="1">
      <alignment horizontal="center" vertical="center" wrapText="1"/>
    </xf>
    <xf numFmtId="0" fontId="43" fillId="11" borderId="24" xfId="16" applyFont="1" applyFill="1" applyBorder="1" applyAlignment="1">
      <alignment horizontal="center" vertical="center" wrapText="1"/>
    </xf>
    <xf numFmtId="0" fontId="43" fillId="11" borderId="113" xfId="16" applyFont="1" applyFill="1" applyBorder="1" applyAlignment="1">
      <alignment horizontal="center" vertical="center" wrapText="1"/>
    </xf>
    <xf numFmtId="0" fontId="43" fillId="0" borderId="31" xfId="16" applyFont="1" applyBorder="1" applyAlignment="1">
      <alignment horizontal="center" vertical="center" wrapText="1"/>
    </xf>
    <xf numFmtId="0" fontId="43" fillId="0" borderId="32" xfId="16" applyFont="1" applyBorder="1" applyAlignment="1">
      <alignment horizontal="center" vertical="center" wrapText="1"/>
    </xf>
    <xf numFmtId="0" fontId="43" fillId="0" borderId="33" xfId="16" applyFont="1" applyBorder="1" applyAlignment="1">
      <alignment horizontal="center" vertical="center" wrapText="1"/>
    </xf>
    <xf numFmtId="167" fontId="43" fillId="0" borderId="8" xfId="16" applyNumberFormat="1" applyFont="1" applyBorder="1" applyAlignment="1">
      <alignment horizontal="center" vertical="center" wrapText="1"/>
    </xf>
    <xf numFmtId="0" fontId="43" fillId="0" borderId="9" xfId="16" applyFont="1" applyBorder="1" applyAlignment="1">
      <alignment horizontal="center" vertical="center" wrapText="1"/>
    </xf>
    <xf numFmtId="0" fontId="43" fillId="0" borderId="10" xfId="16" applyFont="1" applyBorder="1" applyAlignment="1">
      <alignment horizontal="center" vertical="center" wrapText="1"/>
    </xf>
    <xf numFmtId="0" fontId="43" fillId="11" borderId="21" xfId="16" applyFont="1" applyFill="1" applyBorder="1" applyAlignment="1">
      <alignment horizontal="center" vertical="center" wrapText="1"/>
    </xf>
    <xf numFmtId="0" fontId="43" fillId="11" borderId="12" xfId="16" applyFont="1" applyFill="1" applyBorder="1" applyAlignment="1">
      <alignment horizontal="center" vertical="center" wrapText="1"/>
    </xf>
    <xf numFmtId="0" fontId="43" fillId="11" borderId="34" xfId="16" applyFont="1" applyFill="1" applyBorder="1" applyAlignment="1">
      <alignment horizontal="center" vertical="center" wrapText="1"/>
    </xf>
    <xf numFmtId="0" fontId="18" fillId="0" borderId="59" xfId="5" applyFont="1" applyBorder="1" applyAlignment="1" applyProtection="1">
      <alignment horizontal="left" vertical="center"/>
      <protection hidden="1"/>
    </xf>
    <xf numFmtId="0" fontId="18" fillId="0" borderId="60" xfId="5" applyFont="1" applyBorder="1" applyAlignment="1" applyProtection="1">
      <alignment horizontal="left" vertical="center"/>
      <protection hidden="1"/>
    </xf>
    <xf numFmtId="0" fontId="7" fillId="6" borderId="0" xfId="5" applyFont="1" applyFill="1" applyAlignment="1">
      <alignment horizontal="center" vertical="center"/>
    </xf>
    <xf numFmtId="0" fontId="8" fillId="0" borderId="31" xfId="5" applyFont="1" applyBorder="1" applyAlignment="1">
      <alignment horizontal="center" vertical="center"/>
    </xf>
    <xf numFmtId="0" fontId="8" fillId="0" borderId="8" xfId="5" applyFont="1" applyBorder="1" applyAlignment="1">
      <alignment horizontal="center" vertical="center"/>
    </xf>
    <xf numFmtId="0" fontId="8" fillId="0" borderId="32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10" fillId="0" borderId="21" xfId="5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34" xfId="5" applyFont="1" applyBorder="1" applyAlignment="1">
      <alignment horizontal="center" vertical="center" wrapText="1"/>
    </xf>
    <xf numFmtId="0" fontId="10" fillId="0" borderId="35" xfId="5" applyFont="1" applyBorder="1" applyAlignment="1" applyProtection="1">
      <alignment horizontal="center" vertical="center"/>
      <protection hidden="1"/>
    </xf>
    <xf numFmtId="0" fontId="10" fillId="0" borderId="36" xfId="5" applyFont="1" applyBorder="1" applyAlignment="1" applyProtection="1">
      <alignment horizontal="center" vertical="center"/>
      <protection hidden="1"/>
    </xf>
    <xf numFmtId="0" fontId="10" fillId="0" borderId="37" xfId="5" applyFont="1" applyBorder="1" applyAlignment="1" applyProtection="1">
      <alignment horizontal="center" vertical="center"/>
      <protection hidden="1"/>
    </xf>
    <xf numFmtId="0" fontId="8" fillId="7" borderId="38" xfId="5" applyFont="1" applyFill="1" applyBorder="1" applyAlignment="1" applyProtection="1">
      <alignment horizontal="left" vertical="center" wrapText="1"/>
      <protection hidden="1"/>
    </xf>
    <xf numFmtId="0" fontId="8" fillId="7" borderId="39" xfId="5" applyFont="1" applyFill="1" applyBorder="1" applyAlignment="1" applyProtection="1">
      <alignment horizontal="left" vertical="center" wrapText="1"/>
      <protection hidden="1"/>
    </xf>
    <xf numFmtId="0" fontId="8" fillId="7" borderId="41" xfId="5" applyFont="1" applyFill="1" applyBorder="1" applyAlignment="1" applyProtection="1">
      <alignment horizontal="left" vertical="center" wrapText="1"/>
      <protection hidden="1"/>
    </xf>
    <xf numFmtId="0" fontId="8" fillId="7" borderId="42" xfId="5" applyFont="1" applyFill="1" applyBorder="1" applyAlignment="1" applyProtection="1">
      <alignment horizontal="left" vertical="center" wrapText="1"/>
      <protection hidden="1"/>
    </xf>
    <xf numFmtId="167" fontId="12" fillId="7" borderId="48" xfId="5" applyNumberFormat="1" applyFont="1" applyFill="1" applyBorder="1" applyAlignment="1" applyProtection="1">
      <alignment horizontal="center"/>
      <protection hidden="1"/>
    </xf>
    <xf numFmtId="167" fontId="12" fillId="7" borderId="49" xfId="5" applyNumberFormat="1" applyFont="1" applyFill="1" applyBorder="1" applyAlignment="1" applyProtection="1">
      <alignment horizontal="center"/>
      <protection hidden="1"/>
    </xf>
    <xf numFmtId="167" fontId="12" fillId="7" borderId="50" xfId="5" applyNumberFormat="1" applyFont="1" applyFill="1" applyBorder="1" applyAlignment="1" applyProtection="1">
      <alignment horizontal="center"/>
      <protection hidden="1"/>
    </xf>
    <xf numFmtId="167" fontId="12" fillId="7" borderId="55" xfId="5" applyNumberFormat="1" applyFont="1" applyFill="1" applyBorder="1" applyAlignment="1" applyProtection="1">
      <alignment horizontal="center"/>
      <protection hidden="1"/>
    </xf>
    <xf numFmtId="167" fontId="12" fillId="7" borderId="53" xfId="5" applyNumberFormat="1" applyFont="1" applyFill="1" applyBorder="1" applyAlignment="1" applyProtection="1">
      <alignment horizontal="center"/>
      <protection hidden="1"/>
    </xf>
    <xf numFmtId="0" fontId="17" fillId="8" borderId="64" xfId="5" applyFont="1" applyFill="1" applyBorder="1" applyAlignment="1" applyProtection="1">
      <alignment horizontal="center" vertical="center"/>
      <protection hidden="1"/>
    </xf>
    <xf numFmtId="0" fontId="17" fillId="8" borderId="65" xfId="5" applyFont="1" applyFill="1" applyBorder="1" applyAlignment="1" applyProtection="1">
      <alignment horizontal="center" vertical="center"/>
      <protection hidden="1"/>
    </xf>
    <xf numFmtId="0" fontId="10" fillId="0" borderId="38" xfId="5" applyFont="1" applyBorder="1" applyAlignment="1" applyProtection="1">
      <alignment horizontal="left" vertical="center"/>
      <protection hidden="1"/>
    </xf>
    <xf numFmtId="0" fontId="10" fillId="0" borderId="39" xfId="5" applyFont="1" applyBorder="1" applyAlignment="1" applyProtection="1">
      <alignment horizontal="left" vertical="center"/>
      <protection hidden="1"/>
    </xf>
    <xf numFmtId="0" fontId="9" fillId="0" borderId="67" xfId="5" applyFont="1" applyBorder="1" applyAlignment="1" applyProtection="1">
      <alignment horizontal="left" vertical="center"/>
      <protection hidden="1"/>
    </xf>
    <xf numFmtId="0" fontId="9" fillId="0" borderId="40" xfId="5" applyFont="1" applyBorder="1" applyAlignment="1" applyProtection="1">
      <alignment horizontal="left" vertical="center"/>
      <protection hidden="1"/>
    </xf>
    <xf numFmtId="0" fontId="9" fillId="0" borderId="64" xfId="5" applyFont="1" applyBorder="1" applyAlignment="1" applyProtection="1">
      <alignment horizontal="left" vertical="center" wrapText="1"/>
      <protection hidden="1"/>
    </xf>
    <xf numFmtId="0" fontId="18" fillId="0" borderId="65" xfId="5" applyFont="1" applyBorder="1" applyAlignment="1" applyProtection="1">
      <alignment horizontal="left" vertical="center" wrapText="1"/>
      <protection hidden="1"/>
    </xf>
    <xf numFmtId="0" fontId="18" fillId="0" borderId="70" xfId="5" applyFont="1" applyBorder="1" applyAlignment="1" applyProtection="1">
      <alignment horizontal="left" vertical="center" wrapText="1"/>
      <protection hidden="1"/>
    </xf>
    <xf numFmtId="0" fontId="9" fillId="0" borderId="59" xfId="5" applyFont="1" applyBorder="1" applyAlignment="1" applyProtection="1">
      <alignment horizontal="left" vertical="center"/>
      <protection hidden="1"/>
    </xf>
    <xf numFmtId="0" fontId="9" fillId="0" borderId="60" xfId="5" applyFont="1" applyBorder="1" applyAlignment="1" applyProtection="1">
      <alignment horizontal="left" vertical="center"/>
      <protection hidden="1"/>
    </xf>
    <xf numFmtId="0" fontId="9" fillId="0" borderId="69" xfId="5" applyFont="1" applyBorder="1" applyAlignment="1" applyProtection="1">
      <alignment horizontal="left" vertical="center" wrapText="1"/>
      <protection hidden="1"/>
    </xf>
    <xf numFmtId="0" fontId="9" fillId="0" borderId="29" xfId="5" applyFont="1" applyBorder="1" applyAlignment="1" applyProtection="1">
      <alignment horizontal="left" vertical="center"/>
      <protection hidden="1"/>
    </xf>
    <xf numFmtId="0" fontId="9" fillId="0" borderId="69" xfId="5" applyFont="1" applyBorder="1" applyAlignment="1" applyProtection="1">
      <alignment horizontal="left"/>
      <protection hidden="1"/>
    </xf>
    <xf numFmtId="0" fontId="9" fillId="0" borderId="29" xfId="5" applyFont="1" applyBorder="1" applyAlignment="1" applyProtection="1">
      <alignment horizontal="left"/>
      <protection hidden="1"/>
    </xf>
    <xf numFmtId="0" fontId="9" fillId="0" borderId="59" xfId="5" applyFont="1" applyBorder="1" applyAlignment="1" applyProtection="1">
      <alignment horizontal="left" vertical="center" wrapText="1"/>
      <protection hidden="1"/>
    </xf>
    <xf numFmtId="0" fontId="9" fillId="0" borderId="60" xfId="5" applyFont="1" applyBorder="1" applyAlignment="1" applyProtection="1">
      <alignment horizontal="left" vertical="center" wrapText="1"/>
      <protection hidden="1"/>
    </xf>
    <xf numFmtId="0" fontId="9" fillId="0" borderId="69" xfId="5" applyFont="1" applyBorder="1" applyAlignment="1" applyProtection="1">
      <alignment horizontal="left" vertical="top"/>
      <protection hidden="1"/>
    </xf>
    <xf numFmtId="0" fontId="9" fillId="0" borderId="29" xfId="5" applyFont="1" applyBorder="1" applyAlignment="1" applyProtection="1">
      <alignment horizontal="left" vertical="top"/>
      <protection hidden="1"/>
    </xf>
    <xf numFmtId="170" fontId="2" fillId="3" borderId="4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vertical="center" wrapText="1"/>
    </xf>
    <xf numFmtId="9" fontId="23" fillId="0" borderId="0" xfId="2" applyFont="1" applyBorder="1" applyAlignment="1">
      <alignment horizontal="center" vertical="center"/>
    </xf>
    <xf numFmtId="9" fontId="26" fillId="0" borderId="0" xfId="2" applyFont="1" applyAlignment="1">
      <alignment horizontal="center" vertical="center"/>
    </xf>
    <xf numFmtId="9" fontId="2" fillId="2" borderId="2" xfId="2" applyFont="1" applyFill="1" applyBorder="1" applyAlignment="1">
      <alignment horizontal="center" vertical="center" wrapText="1"/>
    </xf>
    <xf numFmtId="9" fontId="0" fillId="0" borderId="0" xfId="2" applyFont="1" applyAlignment="1">
      <alignment horizontal="center"/>
    </xf>
    <xf numFmtId="9" fontId="2" fillId="3" borderId="6" xfId="2" applyFont="1" applyFill="1" applyBorder="1" applyAlignment="1">
      <alignment horizontal="center" vertical="center" wrapText="1"/>
    </xf>
    <xf numFmtId="9" fontId="3" fillId="0" borderId="9" xfId="2" applyFont="1" applyBorder="1" applyAlignment="1">
      <alignment horizontal="center" vertical="center" wrapText="1"/>
    </xf>
    <xf numFmtId="9" fontId="2" fillId="9" borderId="12" xfId="2" applyFont="1" applyFill="1" applyBorder="1" applyAlignment="1">
      <alignment horizontal="center" vertical="center" wrapText="1"/>
    </xf>
    <xf numFmtId="9" fontId="2" fillId="0" borderId="74" xfId="2" applyFont="1" applyBorder="1" applyAlignment="1">
      <alignment horizontal="center" vertical="center" wrapText="1"/>
    </xf>
    <xf numFmtId="9" fontId="2" fillId="3" borderId="12" xfId="2" applyFont="1" applyFill="1" applyBorder="1" applyAlignment="1">
      <alignment horizontal="center" vertical="center" wrapText="1"/>
    </xf>
    <xf numFmtId="9" fontId="2" fillId="0" borderId="0" xfId="2" applyFont="1" applyAlignment="1">
      <alignment horizontal="center" vertical="center"/>
    </xf>
    <xf numFmtId="9" fontId="4" fillId="0" borderId="77" xfId="2" applyFont="1" applyBorder="1" applyAlignment="1">
      <alignment horizontal="center" vertical="center"/>
    </xf>
    <xf numFmtId="9" fontId="4" fillId="2" borderId="15" xfId="2" applyFont="1" applyFill="1" applyBorder="1" applyAlignment="1">
      <alignment horizontal="center" vertical="center"/>
    </xf>
    <xf numFmtId="9" fontId="2" fillId="4" borderId="15" xfId="2" applyFont="1" applyFill="1" applyBorder="1" applyAlignment="1">
      <alignment horizontal="center" vertical="center"/>
    </xf>
    <xf numFmtId="164" fontId="24" fillId="0" borderId="75" xfId="0" applyNumberFormat="1" applyFont="1" applyBorder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/>
    </xf>
    <xf numFmtId="164" fontId="2" fillId="3" borderId="6" xfId="0" applyNumberFormat="1" applyFont="1" applyFill="1" applyBorder="1" applyAlignment="1">
      <alignment vertical="center" wrapText="1"/>
    </xf>
    <xf numFmtId="164" fontId="3" fillId="0" borderId="9" xfId="1" applyNumberFormat="1" applyFont="1" applyBorder="1" applyAlignment="1">
      <alignment vertical="center" wrapText="1"/>
    </xf>
    <xf numFmtId="164" fontId="2" fillId="9" borderId="9" xfId="1" applyNumberFormat="1" applyFont="1" applyFill="1" applyBorder="1" applyAlignment="1">
      <alignment vertical="center" wrapText="1"/>
    </xf>
    <xf numFmtId="164" fontId="2" fillId="3" borderId="12" xfId="0" applyNumberFormat="1" applyFont="1" applyFill="1" applyBorder="1" applyAlignment="1">
      <alignment vertical="center" wrapText="1"/>
    </xf>
    <xf numFmtId="164" fontId="2" fillId="0" borderId="19" xfId="0" applyNumberFormat="1" applyFont="1" applyBorder="1" applyAlignment="1">
      <alignment horizontal="left" vertical="center"/>
    </xf>
    <xf numFmtId="164" fontId="3" fillId="0" borderId="9" xfId="3" applyNumberFormat="1" applyFont="1" applyBorder="1" applyAlignment="1">
      <alignment horizontal="center" vertical="center" wrapText="1"/>
    </xf>
    <xf numFmtId="17" fontId="23" fillId="0" borderId="0" xfId="0" applyNumberFormat="1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2" fillId="9" borderId="13" xfId="0" applyNumberFormat="1" applyFont="1" applyFill="1" applyBorder="1" applyAlignment="1">
      <alignment horizontal="center" vertical="center" wrapText="1"/>
    </xf>
    <xf numFmtId="165" fontId="2" fillId="0" borderId="10" xfId="0" applyNumberFormat="1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2" fillId="2" borderId="16" xfId="0" applyNumberFormat="1" applyFont="1" applyFill="1" applyBorder="1" applyAlignment="1">
      <alignment horizontal="center" vertical="center"/>
    </xf>
  </cellXfs>
  <cellStyles count="17">
    <cellStyle name="Millares" xfId="1" builtinId="3"/>
    <cellStyle name="Millares 2 3" xfId="6" xr:uid="{37D30548-ACEE-4E4A-9E93-70C45ADBB562}"/>
    <cellStyle name="Millares 4 2 3" xfId="7" xr:uid="{A12A360C-F774-42DD-83F9-7AE9729C720E}"/>
    <cellStyle name="Moneda" xfId="3" builtinId="4"/>
    <cellStyle name="Moneda [0] 3 2 2" xfId="15" xr:uid="{AB52622B-F45D-49B6-A108-092401D7130C}"/>
    <cellStyle name="Moneda 2" xfId="8" xr:uid="{594678F7-1798-4545-8E98-51816743285E}"/>
    <cellStyle name="Moneda 2 5" xfId="12" xr:uid="{821D5F65-C28C-4065-B300-C346038A1D82}"/>
    <cellStyle name="Moneda 7" xfId="13" xr:uid="{10ED185B-72C7-4418-A07A-2168C5D801DB}"/>
    <cellStyle name="Normal" xfId="0" builtinId="0"/>
    <cellStyle name="Normal 2" xfId="4" xr:uid="{4812AED1-7CBC-4485-A466-6638D0FA018D}"/>
    <cellStyle name="Normal 2 2" xfId="11" xr:uid="{086932ED-8ED5-4675-A85A-C9A60EEADD05}"/>
    <cellStyle name="Normal 2 3" xfId="16" xr:uid="{4F594F49-934B-4CAB-A557-95DAB2D088B7}"/>
    <cellStyle name="Normal 3" xfId="5" xr:uid="{002EC03E-6100-4C8C-A9E3-243E592510BE}"/>
    <cellStyle name="Normal 3 2 2" xfId="14" xr:uid="{A7809915-CC3F-4449-B3F2-8C491229F8D3}"/>
    <cellStyle name="Porcentaje" xfId="2" builtinId="5"/>
    <cellStyle name="Porcentaje 2" xfId="10" xr:uid="{0D4584EB-8820-4C40-A00A-B28C92D789AA}"/>
    <cellStyle name="Porcentaje 2 2" xfId="9" xr:uid="{A727F1C1-BE6F-488C-B476-515C519B8B5D}"/>
  </cellStyles>
  <dxfs count="19"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302760</xdr:colOff>
      <xdr:row>76</xdr:row>
      <xdr:rowOff>37354</xdr:rowOff>
    </xdr:from>
    <xdr:to>
      <xdr:col>9</xdr:col>
      <xdr:colOff>216402</xdr:colOff>
      <xdr:row>94</xdr:row>
      <xdr:rowOff>164660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520E6D-6AFB-A0DD-1E62-8D0A37219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936" y="16181295"/>
          <a:ext cx="7645701" cy="3623541"/>
        </a:xfrm>
        <a:prstGeom prst="rect">
          <a:avLst/>
        </a:prstGeom>
      </xdr:spPr>
    </xdr:pic>
    <xdr:clientData/>
  </xdr:twoCellAnchor>
  <xdr:twoCellAnchor editAs="oneCell">
    <xdr:from>
      <xdr:col>3</xdr:col>
      <xdr:colOff>104588</xdr:colOff>
      <xdr:row>96</xdr:row>
      <xdr:rowOff>81420</xdr:rowOff>
    </xdr:from>
    <xdr:to>
      <xdr:col>9</xdr:col>
      <xdr:colOff>482104</xdr:colOff>
      <xdr:row>116</xdr:row>
      <xdr:rowOff>160550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1E459B-DE69-B1B4-9A33-2114E433E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764" y="20110067"/>
          <a:ext cx="8109575" cy="3963835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254001</xdr:colOff>
      <xdr:row>119</xdr:row>
      <xdr:rowOff>2121</xdr:rowOff>
    </xdr:from>
    <xdr:to>
      <xdr:col>9</xdr:col>
      <xdr:colOff>393950</xdr:colOff>
      <xdr:row>138</xdr:row>
      <xdr:rowOff>175491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ABA9F2B-A38E-FA16-4560-022300384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177" y="24498180"/>
          <a:ext cx="7872008" cy="3863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26306</xdr:colOff>
      <xdr:row>75</xdr:row>
      <xdr:rowOff>74083</xdr:rowOff>
    </xdr:from>
    <xdr:to>
      <xdr:col>9</xdr:col>
      <xdr:colOff>993342</xdr:colOff>
      <xdr:row>95</xdr:row>
      <xdr:rowOff>36270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978919-DCB1-A123-8DC5-0D6F09D98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973" y="16150166"/>
          <a:ext cx="8692869" cy="3983854"/>
        </a:xfrm>
        <a:prstGeom prst="rect">
          <a:avLst/>
        </a:prstGeom>
      </xdr:spPr>
    </xdr:pic>
    <xdr:clientData/>
  </xdr:twoCellAnchor>
  <xdr:twoCellAnchor editAs="oneCell">
    <xdr:from>
      <xdr:col>2</xdr:col>
      <xdr:colOff>74083</xdr:colOff>
      <xdr:row>96</xdr:row>
      <xdr:rowOff>148167</xdr:rowOff>
    </xdr:from>
    <xdr:to>
      <xdr:col>9</xdr:col>
      <xdr:colOff>910166</xdr:colOff>
      <xdr:row>117</xdr:row>
      <xdr:rowOff>190809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2133DA-D9A9-FA39-DC29-75F579995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500" y="20447000"/>
          <a:ext cx="8657166" cy="4265392"/>
        </a:xfrm>
        <a:prstGeom prst="rect">
          <a:avLst/>
        </a:prstGeom>
      </xdr:spPr>
    </xdr:pic>
    <xdr:clientData/>
  </xdr:twoCellAnchor>
  <xdr:twoCellAnchor editAs="oneCell">
    <xdr:from>
      <xdr:col>3</xdr:col>
      <xdr:colOff>95249</xdr:colOff>
      <xdr:row>119</xdr:row>
      <xdr:rowOff>118461</xdr:rowOff>
    </xdr:from>
    <xdr:to>
      <xdr:col>9</xdr:col>
      <xdr:colOff>840293</xdr:colOff>
      <xdr:row>138</xdr:row>
      <xdr:rowOff>190500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58AB40-205A-E7C2-19E5-7B1E58764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0916" y="25042211"/>
          <a:ext cx="8470877" cy="38926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hb20\Desktop\CONTRATOS%202026\CORRALES\alumbrado%20barrio\Presupuesto%20alumbrados.xlsx" TargetMode="External"/><Relationship Id="rId1" Type="http://schemas.openxmlformats.org/officeDocument/2006/relationships/externalLinkPath" Target="file:///C:\Users\ahb20\Desktop\CONTRATOS%202026\CORRALES\alumbrado%20barrio\Presupuesto%20alumbr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PRESUPUESTO OFICIAL (Entidad)"/>
      <sheetName val="PRESUPUESTO"/>
      <sheetName val="1,01"/>
      <sheetName val="2,01"/>
      <sheetName val="2,02"/>
      <sheetName val="2,03"/>
      <sheetName val="2,04"/>
      <sheetName val="2,06"/>
      <sheetName val="3,01"/>
      <sheetName val="3,02"/>
      <sheetName val="MEMORIA DE CANTIDADES"/>
      <sheetName val="Flujo de fondos"/>
      <sheetName val="Hoja3"/>
    </sheetNames>
    <sheetDataSet>
      <sheetData sheetId="0"/>
      <sheetData sheetId="1"/>
      <sheetData sheetId="2">
        <row r="21">
          <cell r="B21">
            <v>2.0099999999999998</v>
          </cell>
          <cell r="G21" t="str">
            <v>Unidad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F2BC-7990-44C1-810C-0D366454A62B}">
  <sheetPr>
    <tabColor theme="4" tint="0.39997558519241921"/>
  </sheetPr>
  <dimension ref="A1:X38"/>
  <sheetViews>
    <sheetView view="pageBreakPreview" topLeftCell="A14" zoomScaleNormal="90" zoomScaleSheetLayoutView="100" workbookViewId="0">
      <selection activeCell="I18" sqref="I18"/>
    </sheetView>
  </sheetViews>
  <sheetFormatPr baseColWidth="10" defaultRowHeight="15" x14ac:dyDescent="0.25"/>
  <cols>
    <col min="1" max="1" width="11.5703125" bestFit="1" customWidth="1"/>
    <col min="3" max="3" width="39.7109375" customWidth="1"/>
    <col min="5" max="5" width="11.5703125" bestFit="1" customWidth="1"/>
    <col min="6" max="6" width="14.7109375" bestFit="1" customWidth="1"/>
    <col min="7" max="7" width="26.140625" bestFit="1" customWidth="1"/>
    <col min="8" max="8" width="14.7109375" customWidth="1"/>
    <col min="9" max="9" width="30.42578125" customWidth="1"/>
    <col min="11" max="11" width="15.42578125" style="111" customWidth="1"/>
    <col min="12" max="12" width="16" style="111" bestFit="1" customWidth="1"/>
  </cols>
  <sheetData>
    <row r="1" spans="1:24" ht="15.75" thickBot="1" x14ac:dyDescent="0.3"/>
    <row r="2" spans="1:24" s="131" customFormat="1" ht="21" x14ac:dyDescent="0.25">
      <c r="A2" s="381" t="s">
        <v>65</v>
      </c>
      <c r="B2" s="382"/>
      <c r="C2" s="382"/>
      <c r="D2" s="382"/>
      <c r="E2" s="382"/>
      <c r="F2" s="382"/>
      <c r="G2" s="382"/>
      <c r="H2" s="382"/>
      <c r="I2" s="383"/>
      <c r="J2" s="129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</row>
    <row r="3" spans="1:24" s="131" customFormat="1" ht="15" customHeight="1" x14ac:dyDescent="0.25">
      <c r="A3" s="384"/>
      <c r="B3" s="385"/>
      <c r="C3" s="385"/>
      <c r="D3" s="385"/>
      <c r="E3" s="385"/>
      <c r="F3" s="385"/>
      <c r="G3" s="385"/>
      <c r="H3" s="385"/>
      <c r="I3" s="386"/>
      <c r="J3" s="129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s="131" customFormat="1" ht="41.25" customHeight="1" thickBot="1" x14ac:dyDescent="0.3">
      <c r="A4" s="387"/>
      <c r="B4" s="388"/>
      <c r="C4" s="388"/>
      <c r="D4" s="388"/>
      <c r="E4" s="388"/>
      <c r="F4" s="388"/>
      <c r="G4" s="388"/>
      <c r="H4" s="388"/>
      <c r="I4" s="389"/>
      <c r="J4" s="129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</row>
    <row r="5" spans="1:24" s="131" customFormat="1" ht="60" customHeight="1" thickBot="1" x14ac:dyDescent="0.3">
      <c r="A5" s="392" t="s">
        <v>67</v>
      </c>
      <c r="B5" s="393"/>
      <c r="C5" s="393"/>
      <c r="D5" s="393"/>
      <c r="E5" s="393"/>
      <c r="F5" s="393"/>
      <c r="G5" s="393"/>
      <c r="H5" s="393"/>
      <c r="I5" s="394"/>
      <c r="J5" s="138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1:24" s="134" customFormat="1" ht="35.1" customHeight="1" thickBot="1" x14ac:dyDescent="0.3">
      <c r="A6" s="132"/>
      <c r="B6" s="132"/>
      <c r="C6" s="132"/>
      <c r="D6" s="390" t="s">
        <v>66</v>
      </c>
      <c r="E6" s="391"/>
      <c r="F6" s="133">
        <v>0.22</v>
      </c>
      <c r="H6" s="135"/>
      <c r="I6" s="136"/>
      <c r="J6" s="132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9" spans="1:24" s="131" customFormat="1" ht="12" customHeight="1" thickBot="1" x14ac:dyDescent="0.3">
      <c r="A9" s="132"/>
      <c r="B9" s="132"/>
      <c r="C9" s="132"/>
      <c r="D9" s="132"/>
      <c r="E9" s="132"/>
      <c r="F9" s="139" t="s">
        <v>68</v>
      </c>
      <c r="G9" s="132"/>
      <c r="H9" s="132"/>
      <c r="I9" s="140"/>
      <c r="J9" s="14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</row>
    <row r="10" spans="1:24" ht="60.75" thickBot="1" x14ac:dyDescent="0.3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3" t="s">
        <v>5</v>
      </c>
      <c r="G10" s="3" t="s">
        <v>18</v>
      </c>
      <c r="H10" s="3" t="s">
        <v>6</v>
      </c>
      <c r="I10" s="4" t="s">
        <v>7</v>
      </c>
    </row>
    <row r="11" spans="1:24" ht="14.45" customHeight="1" x14ac:dyDescent="0.25">
      <c r="A11" s="117">
        <v>1</v>
      </c>
      <c r="B11" s="252" t="s">
        <v>105</v>
      </c>
      <c r="C11" s="248"/>
      <c r="D11" s="248"/>
      <c r="E11" s="248"/>
      <c r="F11" s="248"/>
      <c r="G11" s="248"/>
      <c r="H11" s="248"/>
      <c r="I11" s="249"/>
    </row>
    <row r="12" spans="1:24" ht="24" x14ac:dyDescent="0.25">
      <c r="A12" s="122">
        <v>1.01</v>
      </c>
      <c r="B12" s="114" t="s">
        <v>106</v>
      </c>
      <c r="C12" s="128" t="s">
        <v>64</v>
      </c>
      <c r="D12" s="114" t="s">
        <v>17</v>
      </c>
      <c r="E12" s="115">
        <v>2091</v>
      </c>
      <c r="F12" s="5">
        <f>+'Apu 1.01'!VALOR_APU</f>
        <v>797.16</v>
      </c>
      <c r="G12" s="33"/>
      <c r="H12" s="31">
        <f>+F12*G12</f>
        <v>0</v>
      </c>
      <c r="I12" s="6">
        <f>+ROUND(F12*E12,2)</f>
        <v>1666861.56</v>
      </c>
    </row>
    <row r="13" spans="1:24" x14ac:dyDescent="0.25">
      <c r="A13" s="123"/>
      <c r="B13" s="124"/>
      <c r="C13" s="124"/>
      <c r="D13" s="124"/>
      <c r="E13" s="124"/>
      <c r="F13" s="125"/>
      <c r="G13" s="125"/>
      <c r="H13" s="126" t="s">
        <v>21</v>
      </c>
      <c r="I13" s="127">
        <f>SUM(I12:I12)</f>
        <v>1666861.56</v>
      </c>
    </row>
    <row r="14" spans="1:24" x14ac:dyDescent="0.25">
      <c r="A14" s="23"/>
      <c r="B14" s="118"/>
      <c r="C14" s="119"/>
      <c r="D14" s="120"/>
      <c r="E14" s="119"/>
      <c r="F14" s="121"/>
      <c r="G14" s="121"/>
      <c r="H14" s="121"/>
      <c r="I14" s="32"/>
    </row>
    <row r="15" spans="1:24" ht="14.45" customHeight="1" x14ac:dyDescent="0.25">
      <c r="A15" s="117">
        <v>2</v>
      </c>
      <c r="B15" s="253" t="s">
        <v>8</v>
      </c>
      <c r="C15" s="250"/>
      <c r="D15" s="250"/>
      <c r="E15" s="250"/>
      <c r="F15" s="250"/>
      <c r="G15" s="250"/>
      <c r="H15" s="250"/>
      <c r="I15" s="251"/>
    </row>
    <row r="16" spans="1:24" ht="49.5" customHeight="1" x14ac:dyDescent="0.25">
      <c r="A16" s="116">
        <v>2.0099999999999998</v>
      </c>
      <c r="B16" s="114" t="s">
        <v>108</v>
      </c>
      <c r="C16" s="128" t="s">
        <v>26</v>
      </c>
      <c r="D16" s="114" t="s">
        <v>9</v>
      </c>
      <c r="E16" s="115">
        <v>88</v>
      </c>
      <c r="F16" s="5">
        <f>+'Apu 2.01'!VALOR_APU</f>
        <v>998484.67</v>
      </c>
      <c r="G16" s="141">
        <f>+F16*$F$6</f>
        <v>219666.6274</v>
      </c>
      <c r="H16" s="5">
        <f>+G16*E16</f>
        <v>19330663.211199999</v>
      </c>
      <c r="I16" s="6">
        <f>+ROUND(F16*E16,2)</f>
        <v>87866650.959999993</v>
      </c>
      <c r="J16" s="37"/>
    </row>
    <row r="17" spans="1:14" ht="76.5" customHeight="1" x14ac:dyDescent="0.25">
      <c r="A17" s="116">
        <v>2.02</v>
      </c>
      <c r="B17" s="114" t="s">
        <v>20</v>
      </c>
      <c r="C17" s="128" t="s">
        <v>136</v>
      </c>
      <c r="D17" s="114" t="s">
        <v>9</v>
      </c>
      <c r="E17" s="115">
        <v>25</v>
      </c>
      <c r="F17" s="5">
        <f>+'Apu 2.02'!VALOR_APU</f>
        <v>600983.05000000005</v>
      </c>
      <c r="G17" s="141">
        <f>+F17*$F$6</f>
        <v>132216.27100000001</v>
      </c>
      <c r="H17" s="5">
        <f>+G17*E17</f>
        <v>3305406.7750000004</v>
      </c>
      <c r="I17" s="6">
        <f t="shared" ref="I17:I20" si="0">+ROUND(F17*E17,2)</f>
        <v>15024576.25</v>
      </c>
    </row>
    <row r="18" spans="1:14" ht="93" customHeight="1" x14ac:dyDescent="0.25">
      <c r="A18" s="116">
        <v>2.0299999999999998</v>
      </c>
      <c r="B18" s="114" t="s">
        <v>118</v>
      </c>
      <c r="C18" s="128" t="s">
        <v>119</v>
      </c>
      <c r="D18" s="114" t="s">
        <v>9</v>
      </c>
      <c r="E18" s="115">
        <v>63</v>
      </c>
      <c r="F18" s="5">
        <f>+'Apu 2.03'!VALOR_APU</f>
        <v>535303.05000000005</v>
      </c>
      <c r="G18" s="141">
        <f>+F18*$F$6</f>
        <v>117766.67100000002</v>
      </c>
      <c r="H18" s="5">
        <f>+G18*E18</f>
        <v>7419300.273000001</v>
      </c>
      <c r="I18" s="6">
        <f t="shared" si="0"/>
        <v>33724092.149999999</v>
      </c>
      <c r="K18" s="112"/>
    </row>
    <row r="19" spans="1:14" ht="63.6" customHeight="1" x14ac:dyDescent="0.25">
      <c r="A19" s="116">
        <v>2.04</v>
      </c>
      <c r="B19" s="114" t="s">
        <v>125</v>
      </c>
      <c r="C19" s="128" t="s">
        <v>124</v>
      </c>
      <c r="D19" s="114" t="s">
        <v>9</v>
      </c>
      <c r="E19" s="115">
        <v>88</v>
      </c>
      <c r="F19" s="5">
        <f>+'Apu 2.04'!VALOR_APU</f>
        <v>258563.57</v>
      </c>
      <c r="G19" s="141">
        <f t="shared" ref="G19" si="1">+F19*$F$6</f>
        <v>56883.985400000005</v>
      </c>
      <c r="H19" s="5">
        <f t="shared" ref="H19:H20" si="2">+G19*E19</f>
        <v>5005790.7152000004</v>
      </c>
      <c r="I19" s="6">
        <f t="shared" si="0"/>
        <v>22753594.16</v>
      </c>
    </row>
    <row r="20" spans="1:14" ht="24" x14ac:dyDescent="0.25">
      <c r="A20" s="116">
        <v>2.0499999999999998</v>
      </c>
      <c r="B20" s="114" t="s">
        <v>130</v>
      </c>
      <c r="C20" s="128" t="s">
        <v>131</v>
      </c>
      <c r="D20" s="114" t="s">
        <v>22</v>
      </c>
      <c r="E20" s="142">
        <v>1.7</v>
      </c>
      <c r="F20" s="5">
        <f>+'Apu 2.05'!VALOR_APU</f>
        <v>13653050.91</v>
      </c>
      <c r="G20" s="141">
        <f>+F20*$F$6</f>
        <v>3003671.2001999998</v>
      </c>
      <c r="H20" s="5">
        <f t="shared" si="2"/>
        <v>5106241.0403399998</v>
      </c>
      <c r="I20" s="6">
        <f t="shared" si="0"/>
        <v>23210186.550000001</v>
      </c>
    </row>
    <row r="21" spans="1:14" x14ac:dyDescent="0.25">
      <c r="A21" s="9"/>
      <c r="B21" s="7"/>
      <c r="C21" s="34" t="s">
        <v>21</v>
      </c>
      <c r="D21" s="34"/>
      <c r="E21" s="34"/>
      <c r="F21" s="35"/>
      <c r="G21" s="35"/>
      <c r="H21" s="35"/>
      <c r="I21" s="36">
        <f>SUM(I16:I20)</f>
        <v>182579100.06999999</v>
      </c>
    </row>
    <row r="22" spans="1:14" x14ac:dyDescent="0.25">
      <c r="A22" s="30"/>
      <c r="B22" s="24"/>
      <c r="C22" s="24"/>
      <c r="D22" s="24"/>
      <c r="E22" s="7"/>
      <c r="F22" s="25"/>
      <c r="G22" s="8"/>
      <c r="H22" s="25"/>
      <c r="I22" s="8"/>
    </row>
    <row r="23" spans="1:14" ht="15.75" thickBot="1" x14ac:dyDescent="0.3">
      <c r="A23" s="26"/>
      <c r="B23" s="27"/>
      <c r="C23" s="27"/>
      <c r="D23" s="27"/>
      <c r="E23" s="27"/>
      <c r="F23" s="28"/>
      <c r="G23" s="28"/>
      <c r="H23" s="28"/>
      <c r="I23" s="29"/>
    </row>
    <row r="24" spans="1:14" ht="15.75" thickBot="1" x14ac:dyDescent="0.3">
      <c r="A24" s="407"/>
      <c r="B24" s="408"/>
      <c r="C24" s="408"/>
      <c r="D24" s="408"/>
      <c r="E24" s="408"/>
      <c r="F24" s="408"/>
      <c r="G24" s="408"/>
      <c r="H24" s="408"/>
      <c r="I24" s="409"/>
    </row>
    <row r="25" spans="1:14" ht="15.75" thickBot="1" x14ac:dyDescent="0.3">
      <c r="A25" s="246"/>
      <c r="B25" s="247"/>
      <c r="C25" s="247"/>
      <c r="D25" s="247"/>
      <c r="E25" s="247"/>
      <c r="F25" s="410" t="s">
        <v>16</v>
      </c>
      <c r="G25" s="410"/>
      <c r="H25" s="411"/>
      <c r="I25" s="10">
        <f>I21+I13</f>
        <v>184245961.63</v>
      </c>
    </row>
    <row r="26" spans="1:14" x14ac:dyDescent="0.25">
      <c r="A26" s="11"/>
      <c r="B26" s="12"/>
      <c r="C26" s="12"/>
      <c r="D26" s="12"/>
      <c r="E26" s="12"/>
      <c r="F26" s="12"/>
      <c r="G26" s="12"/>
      <c r="H26" s="13"/>
      <c r="I26" s="14"/>
    </row>
    <row r="27" spans="1:14" x14ac:dyDescent="0.25">
      <c r="A27" s="399" t="s">
        <v>10</v>
      </c>
      <c r="B27" s="400"/>
      <c r="C27" s="400"/>
      <c r="D27" s="400"/>
      <c r="E27" s="400"/>
      <c r="F27" s="400"/>
      <c r="G27" s="15" t="s">
        <v>19</v>
      </c>
      <c r="H27" s="16">
        <v>0.22</v>
      </c>
      <c r="I27" s="17">
        <f>+I25*22%</f>
        <v>40534111.558600001</v>
      </c>
    </row>
    <row r="28" spans="1:14" x14ac:dyDescent="0.25">
      <c r="A28" s="399" t="s">
        <v>11</v>
      </c>
      <c r="B28" s="400"/>
      <c r="C28" s="400"/>
      <c r="D28" s="400"/>
      <c r="E28" s="400"/>
      <c r="F28" s="400"/>
      <c r="G28" s="15" t="s">
        <v>12</v>
      </c>
      <c r="H28" s="16">
        <v>0.03</v>
      </c>
      <c r="I28" s="17">
        <f>+I25*3%</f>
        <v>5527378.8488999996</v>
      </c>
    </row>
    <row r="29" spans="1:14" ht="15.75" thickBot="1" x14ac:dyDescent="0.3">
      <c r="A29" s="401" t="s">
        <v>13</v>
      </c>
      <c r="B29" s="402"/>
      <c r="C29" s="402"/>
      <c r="D29" s="402"/>
      <c r="E29" s="402"/>
      <c r="F29" s="402"/>
      <c r="G29" s="15" t="s">
        <v>14</v>
      </c>
      <c r="H29" s="18">
        <v>0.05</v>
      </c>
      <c r="I29" s="19">
        <f>+I25*5%</f>
        <v>9212298.0814999994</v>
      </c>
    </row>
    <row r="30" spans="1:14" ht="15.75" thickBot="1" x14ac:dyDescent="0.3">
      <c r="A30" s="403" t="s">
        <v>63</v>
      </c>
      <c r="B30" s="404"/>
      <c r="C30" s="404"/>
      <c r="D30" s="404"/>
      <c r="E30" s="404"/>
      <c r="F30" s="404"/>
      <c r="G30" s="405" t="s">
        <v>15</v>
      </c>
      <c r="H30" s="406"/>
      <c r="I30" s="20">
        <f>SUM(I27:I29)</f>
        <v>55273788.489</v>
      </c>
    </row>
    <row r="31" spans="1:14" ht="15.75" thickBot="1" x14ac:dyDescent="0.3">
      <c r="A31" s="246"/>
      <c r="B31" s="247"/>
      <c r="C31" s="247"/>
      <c r="D31" s="247"/>
      <c r="E31" s="247"/>
      <c r="F31" s="247"/>
      <c r="G31" s="412" t="s">
        <v>47</v>
      </c>
      <c r="H31" s="413"/>
      <c r="I31" s="21">
        <f>SUM(H12,H16:H20)</f>
        <v>40167402.014739998</v>
      </c>
      <c r="N31" s="113">
        <f>+L32-I32</f>
        <v>779.09626001119614</v>
      </c>
    </row>
    <row r="32" spans="1:14" ht="15.75" thickBot="1" x14ac:dyDescent="0.3">
      <c r="A32" s="395" t="s">
        <v>111</v>
      </c>
      <c r="B32" s="396"/>
      <c r="C32" s="396"/>
      <c r="D32" s="396"/>
      <c r="E32" s="396"/>
      <c r="F32" s="396"/>
      <c r="G32" s="397"/>
      <c r="H32" s="398"/>
      <c r="I32" s="22">
        <f>+I25+I30+I31</f>
        <v>279687152.13374001</v>
      </c>
      <c r="L32" s="111">
        <v>279687931.23000002</v>
      </c>
    </row>
    <row r="35" spans="9:9" x14ac:dyDescent="0.25">
      <c r="I35" s="113"/>
    </row>
    <row r="36" spans="9:9" x14ac:dyDescent="0.25">
      <c r="I36" s="113"/>
    </row>
    <row r="38" spans="9:9" x14ac:dyDescent="0.25">
      <c r="I38" s="113"/>
    </row>
  </sheetData>
  <mergeCells count="13">
    <mergeCell ref="A2:I4"/>
    <mergeCell ref="D6:E6"/>
    <mergeCell ref="A5:I5"/>
    <mergeCell ref="A32:F32"/>
    <mergeCell ref="G32:H32"/>
    <mergeCell ref="A27:F27"/>
    <mergeCell ref="A28:F28"/>
    <mergeCell ref="A29:F29"/>
    <mergeCell ref="A30:F30"/>
    <mergeCell ref="G30:H30"/>
    <mergeCell ref="A24:I24"/>
    <mergeCell ref="F25:H25"/>
    <mergeCell ref="G31:H31"/>
  </mergeCells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DAAA-7C65-4B93-8859-42BFEC6F0BD3}">
  <dimension ref="A1:Y42"/>
  <sheetViews>
    <sheetView tabSelected="1" topLeftCell="A11" workbookViewId="0">
      <selection activeCell="C25" sqref="C25"/>
    </sheetView>
  </sheetViews>
  <sheetFormatPr baseColWidth="10" defaultRowHeight="15" x14ac:dyDescent="0.25"/>
  <cols>
    <col min="1" max="1" width="11.5703125" bestFit="1" customWidth="1"/>
    <col min="3" max="3" width="39.7109375" customWidth="1"/>
    <col min="5" max="5" width="11.5703125" bestFit="1" customWidth="1"/>
    <col min="6" max="6" width="14.7109375" bestFit="1" customWidth="1"/>
    <col min="7" max="7" width="14.7109375" style="476" customWidth="1"/>
    <col min="8" max="8" width="26.140625" bestFit="1" customWidth="1"/>
    <col min="9" max="9" width="14.7109375" style="113" customWidth="1"/>
    <col min="10" max="10" width="30.42578125" style="505" customWidth="1"/>
    <col min="12" max="12" width="15.42578125" style="111" customWidth="1"/>
    <col min="13" max="13" width="16" style="111" bestFit="1" customWidth="1"/>
    <col min="15" max="15" width="14.140625" bestFit="1" customWidth="1"/>
  </cols>
  <sheetData>
    <row r="1" spans="1:25" ht="15.75" thickBot="1" x14ac:dyDescent="0.3"/>
    <row r="2" spans="1:25" s="131" customFormat="1" ht="21" x14ac:dyDescent="0.25">
      <c r="A2" s="381" t="s">
        <v>65</v>
      </c>
      <c r="B2" s="382"/>
      <c r="C2" s="382"/>
      <c r="D2" s="382"/>
      <c r="E2" s="382"/>
      <c r="F2" s="382"/>
      <c r="G2" s="382"/>
      <c r="H2" s="382"/>
      <c r="I2" s="382"/>
      <c r="J2" s="383"/>
      <c r="K2" s="129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</row>
    <row r="3" spans="1:25" s="131" customFormat="1" ht="15" customHeight="1" x14ac:dyDescent="0.25">
      <c r="A3" s="384"/>
      <c r="B3" s="385"/>
      <c r="C3" s="385"/>
      <c r="D3" s="385"/>
      <c r="E3" s="385"/>
      <c r="F3" s="385"/>
      <c r="G3" s="385"/>
      <c r="H3" s="385"/>
      <c r="I3" s="385"/>
      <c r="J3" s="386"/>
      <c r="K3" s="129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1:25" s="131" customFormat="1" ht="41.25" customHeight="1" thickBot="1" x14ac:dyDescent="0.3">
      <c r="A4" s="387"/>
      <c r="B4" s="388"/>
      <c r="C4" s="388"/>
      <c r="D4" s="388"/>
      <c r="E4" s="388"/>
      <c r="F4" s="388"/>
      <c r="G4" s="388"/>
      <c r="H4" s="388"/>
      <c r="I4" s="388"/>
      <c r="J4" s="389"/>
      <c r="K4" s="129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1:25" s="131" customFormat="1" ht="60" customHeight="1" thickBot="1" x14ac:dyDescent="0.3">
      <c r="A5" s="392" t="s">
        <v>143</v>
      </c>
      <c r="B5" s="393"/>
      <c r="C5" s="393"/>
      <c r="D5" s="393"/>
      <c r="E5" s="393"/>
      <c r="F5" s="393"/>
      <c r="G5" s="393"/>
      <c r="H5" s="393"/>
      <c r="I5" s="393"/>
      <c r="J5" s="394"/>
      <c r="K5" s="138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</row>
    <row r="6" spans="1:25" s="134" customFormat="1" ht="35.1" customHeight="1" thickBot="1" x14ac:dyDescent="0.3">
      <c r="A6" s="132"/>
      <c r="B6" s="132"/>
      <c r="C6" s="132"/>
      <c r="D6" s="390" t="s">
        <v>66</v>
      </c>
      <c r="E6" s="391"/>
      <c r="F6" s="133">
        <v>0.22</v>
      </c>
      <c r="G6" s="473"/>
      <c r="I6" s="486"/>
      <c r="J6" s="136"/>
      <c r="K6" s="132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</row>
    <row r="9" spans="1:25" s="131" customFormat="1" ht="12" customHeight="1" thickBot="1" x14ac:dyDescent="0.3">
      <c r="A9" s="132"/>
      <c r="B9" s="132"/>
      <c r="C9" s="132"/>
      <c r="D9" s="132"/>
      <c r="E9" s="132"/>
      <c r="F9" s="139" t="s">
        <v>139</v>
      </c>
      <c r="G9" s="474"/>
      <c r="H9" s="132"/>
      <c r="I9" s="487"/>
      <c r="J9" s="494"/>
      <c r="K9" s="14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</row>
    <row r="10" spans="1:25" ht="62.25" customHeight="1" thickBot="1" x14ac:dyDescent="0.3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3" t="s">
        <v>5</v>
      </c>
      <c r="G10" s="475" t="s">
        <v>144</v>
      </c>
      <c r="H10" s="3" t="s">
        <v>18</v>
      </c>
      <c r="I10" s="3" t="s">
        <v>6</v>
      </c>
      <c r="J10" s="4" t="s">
        <v>7</v>
      </c>
    </row>
    <row r="11" spans="1:25" ht="14.45" customHeight="1" thickBot="1" x14ac:dyDescent="0.3">
      <c r="A11" s="471">
        <v>1</v>
      </c>
      <c r="B11" s="252" t="s">
        <v>137</v>
      </c>
      <c r="C11" s="248"/>
      <c r="D11" s="248"/>
      <c r="E11" s="248"/>
      <c r="F11" s="248"/>
      <c r="G11" s="477"/>
      <c r="H11" s="248"/>
      <c r="I11" s="488"/>
      <c r="J11" s="495"/>
    </row>
    <row r="12" spans="1:25" ht="14.45" customHeight="1" x14ac:dyDescent="0.25">
      <c r="A12" s="470">
        <v>1.1000000000000001</v>
      </c>
      <c r="B12" s="252" t="s">
        <v>105</v>
      </c>
      <c r="C12" s="248"/>
      <c r="D12" s="248"/>
      <c r="E12" s="248"/>
      <c r="F12" s="248"/>
      <c r="G12" s="477"/>
      <c r="H12" s="248"/>
      <c r="I12" s="488"/>
      <c r="J12" s="495"/>
    </row>
    <row r="13" spans="1:25" ht="24" x14ac:dyDescent="0.25">
      <c r="A13" s="122">
        <v>1.1100000000000001</v>
      </c>
      <c r="B13" s="114" t="s">
        <v>106</v>
      </c>
      <c r="C13" s="128" t="s">
        <v>64</v>
      </c>
      <c r="D13" s="114" t="s">
        <v>17</v>
      </c>
      <c r="E13" s="115">
        <v>2091</v>
      </c>
      <c r="F13" s="5">
        <f>+'Apu 1.01'!VALOR_APU</f>
        <v>797.16</v>
      </c>
      <c r="G13" s="478">
        <v>0</v>
      </c>
      <c r="H13" s="493">
        <f>+F13*G13</f>
        <v>0</v>
      </c>
      <c r="I13" s="489">
        <f>+F13*(G13)*E13</f>
        <v>0</v>
      </c>
      <c r="J13" s="496">
        <f>+ROUND(F13*E13,2)</f>
        <v>1666861.56</v>
      </c>
      <c r="M13" s="111">
        <f>+F13*(1+G13)*E13</f>
        <v>1666861.5599999998</v>
      </c>
    </row>
    <row r="14" spans="1:25" x14ac:dyDescent="0.25">
      <c r="A14" s="123"/>
      <c r="B14" s="124"/>
      <c r="C14" s="124"/>
      <c r="D14" s="124"/>
      <c r="E14" s="124"/>
      <c r="F14" s="125"/>
      <c r="G14" s="479"/>
      <c r="H14" s="125"/>
      <c r="I14" s="490" t="s">
        <v>21</v>
      </c>
      <c r="J14" s="497">
        <f>SUM(J13:J13)</f>
        <v>1666861.56</v>
      </c>
      <c r="M14" s="111">
        <f t="shared" ref="M14:M25" si="0">+F14*(1+G14)*E14</f>
        <v>0</v>
      </c>
    </row>
    <row r="15" spans="1:25" x14ac:dyDescent="0.25">
      <c r="A15" s="23"/>
      <c r="B15" s="118"/>
      <c r="C15" s="119"/>
      <c r="D15" s="120"/>
      <c r="E15" s="119"/>
      <c r="F15" s="121"/>
      <c r="G15" s="480"/>
      <c r="H15" s="121"/>
      <c r="I15" s="121"/>
      <c r="J15" s="498"/>
      <c r="M15" s="111">
        <f t="shared" si="0"/>
        <v>0</v>
      </c>
    </row>
    <row r="16" spans="1:25" ht="14.45" customHeight="1" x14ac:dyDescent="0.25">
      <c r="A16" s="470">
        <v>1.2</v>
      </c>
      <c r="B16" s="253" t="s">
        <v>8</v>
      </c>
      <c r="C16" s="250"/>
      <c r="D16" s="250"/>
      <c r="E16" s="250"/>
      <c r="F16" s="250"/>
      <c r="G16" s="481"/>
      <c r="H16" s="250"/>
      <c r="I16" s="491"/>
      <c r="J16" s="499"/>
      <c r="M16" s="111">
        <f t="shared" si="0"/>
        <v>0</v>
      </c>
    </row>
    <row r="17" spans="1:15" ht="49.5" customHeight="1" x14ac:dyDescent="0.25">
      <c r="A17" s="116">
        <v>1.21</v>
      </c>
      <c r="B17" s="114" t="s">
        <v>140</v>
      </c>
      <c r="C17" s="128" t="s">
        <v>26</v>
      </c>
      <c r="D17" s="114" t="s">
        <v>9</v>
      </c>
      <c r="E17" s="115">
        <v>63</v>
      </c>
      <c r="F17" s="5">
        <f>+'Apu 2.01'!VALOR_APU</f>
        <v>998484.67</v>
      </c>
      <c r="G17" s="478">
        <v>0.22</v>
      </c>
      <c r="H17" s="493">
        <f>+F17*G17</f>
        <v>219666.6274</v>
      </c>
      <c r="I17" s="489">
        <f t="shared" ref="I17:I20" si="1">+F17*(G17)*E17</f>
        <v>13838997.5262</v>
      </c>
      <c r="J17" s="496">
        <f>+ROUND(F17*E17,2)</f>
        <v>62904534.210000001</v>
      </c>
      <c r="K17" s="37"/>
      <c r="M17" s="111">
        <f t="shared" si="0"/>
        <v>76743531.736200005</v>
      </c>
      <c r="O17" s="113"/>
    </row>
    <row r="18" spans="1:15" ht="60" x14ac:dyDescent="0.25">
      <c r="A18" s="116">
        <v>1.22</v>
      </c>
      <c r="B18" s="114" t="s">
        <v>141</v>
      </c>
      <c r="C18" s="128" t="s">
        <v>119</v>
      </c>
      <c r="D18" s="114" t="s">
        <v>9</v>
      </c>
      <c r="E18" s="115">
        <v>63</v>
      </c>
      <c r="F18" s="5">
        <f>+'Apu 2.03'!VALOR_APU</f>
        <v>535303.05000000005</v>
      </c>
      <c r="G18" s="478">
        <v>0.22</v>
      </c>
      <c r="H18" s="493">
        <f t="shared" ref="H18:H20" si="2">+F18*G18</f>
        <v>117766.67100000002</v>
      </c>
      <c r="I18" s="489">
        <f t="shared" si="1"/>
        <v>7419300.273000001</v>
      </c>
      <c r="J18" s="496">
        <f t="shared" ref="J17:J20" si="3">+ROUND(F18*E18,2)</f>
        <v>33724092.149999999</v>
      </c>
      <c r="L18" s="112"/>
      <c r="M18" s="111">
        <f t="shared" si="0"/>
        <v>41143392.423</v>
      </c>
    </row>
    <row r="19" spans="1:15" ht="63.6" customHeight="1" x14ac:dyDescent="0.25">
      <c r="A19" s="116">
        <v>1.23</v>
      </c>
      <c r="B19" s="114" t="s">
        <v>125</v>
      </c>
      <c r="C19" s="128" t="s">
        <v>124</v>
      </c>
      <c r="D19" s="114" t="s">
        <v>9</v>
      </c>
      <c r="E19" s="115">
        <v>63</v>
      </c>
      <c r="F19" s="5">
        <f>+'Apu 2.04'!VALOR_APU</f>
        <v>258563.57</v>
      </c>
      <c r="G19" s="478">
        <v>0.22</v>
      </c>
      <c r="H19" s="493">
        <f t="shared" si="2"/>
        <v>56883.985400000005</v>
      </c>
      <c r="I19" s="489">
        <f t="shared" si="1"/>
        <v>3583691.0802000002</v>
      </c>
      <c r="J19" s="496">
        <f t="shared" si="3"/>
        <v>16289504.91</v>
      </c>
      <c r="M19" s="111">
        <f t="shared" si="0"/>
        <v>19873195.990200002</v>
      </c>
    </row>
    <row r="20" spans="1:15" ht="24" x14ac:dyDescent="0.25">
      <c r="A20" s="116">
        <v>1.24</v>
      </c>
      <c r="B20" s="114" t="s">
        <v>142</v>
      </c>
      <c r="C20" s="128" t="s">
        <v>131</v>
      </c>
      <c r="D20" s="114" t="s">
        <v>22</v>
      </c>
      <c r="E20" s="142">
        <v>1.7</v>
      </c>
      <c r="F20" s="5">
        <f>+'Apu 2.05'!VALOR_APU</f>
        <v>13653050.91</v>
      </c>
      <c r="G20" s="478">
        <v>0.22</v>
      </c>
      <c r="H20" s="493">
        <f t="shared" si="2"/>
        <v>3003671.2001999998</v>
      </c>
      <c r="I20" s="489">
        <f t="shared" si="1"/>
        <v>5106241.0403399998</v>
      </c>
      <c r="J20" s="496">
        <f t="shared" si="3"/>
        <v>23210186.550000001</v>
      </c>
      <c r="M20" s="111">
        <f t="shared" si="0"/>
        <v>28316427.587339997</v>
      </c>
    </row>
    <row r="21" spans="1:15" ht="15.75" thickBot="1" x14ac:dyDescent="0.3">
      <c r="A21" s="123"/>
      <c r="B21" s="124"/>
      <c r="C21" s="124"/>
      <c r="D21" s="124"/>
      <c r="E21" s="124"/>
      <c r="F21" s="125"/>
      <c r="G21" s="479"/>
      <c r="H21" s="125"/>
      <c r="I21" s="490" t="s">
        <v>21</v>
      </c>
      <c r="J21" s="497">
        <f>SUM(J17:J20)</f>
        <v>136128317.81999999</v>
      </c>
      <c r="M21" s="111">
        <f t="shared" si="0"/>
        <v>0</v>
      </c>
    </row>
    <row r="22" spans="1:15" ht="14.45" customHeight="1" x14ac:dyDescent="0.25">
      <c r="A22" s="471">
        <v>2</v>
      </c>
      <c r="B22" s="252" t="s">
        <v>138</v>
      </c>
      <c r="C22" s="248"/>
      <c r="D22" s="248"/>
      <c r="E22" s="248"/>
      <c r="F22" s="248"/>
      <c r="G22" s="477"/>
      <c r="H22" s="248"/>
      <c r="I22" s="488"/>
      <c r="J22" s="495"/>
      <c r="M22" s="111">
        <f t="shared" si="0"/>
        <v>0</v>
      </c>
    </row>
    <row r="23" spans="1:15" ht="14.45" customHeight="1" x14ac:dyDescent="0.25">
      <c r="A23" s="117">
        <v>2.1</v>
      </c>
      <c r="B23" s="253" t="s">
        <v>8</v>
      </c>
      <c r="C23" s="250"/>
      <c r="D23" s="250"/>
      <c r="E23" s="250"/>
      <c r="F23" s="250"/>
      <c r="G23" s="481"/>
      <c r="H23" s="250"/>
      <c r="I23" s="491"/>
      <c r="J23" s="499"/>
      <c r="M23" s="111">
        <f t="shared" si="0"/>
        <v>0</v>
      </c>
    </row>
    <row r="24" spans="1:15" ht="49.5" customHeight="1" x14ac:dyDescent="0.25">
      <c r="A24" s="116">
        <v>2.11</v>
      </c>
      <c r="B24" s="114" t="s">
        <v>140</v>
      </c>
      <c r="C24" s="128" t="s">
        <v>26</v>
      </c>
      <c r="D24" s="114" t="s">
        <v>9</v>
      </c>
      <c r="E24" s="115">
        <v>25</v>
      </c>
      <c r="F24" s="5">
        <f>+'Apu 2.01'!VALOR_APU</f>
        <v>998484.67</v>
      </c>
      <c r="G24" s="478">
        <v>0.22</v>
      </c>
      <c r="H24" s="493">
        <f t="shared" ref="H24:H26" si="4">+F24*G24</f>
        <v>219666.6274</v>
      </c>
      <c r="I24" s="489">
        <f t="shared" ref="I24:I26" si="5">+F24*(G24)*E24</f>
        <v>5491665.6849999996</v>
      </c>
      <c r="J24" s="496">
        <f t="shared" ref="J24:J26" si="6">+ROUND(F24*E24,2)</f>
        <v>24962116.75</v>
      </c>
      <c r="K24" s="37"/>
      <c r="M24" s="111">
        <f t="shared" si="0"/>
        <v>30453782.435000002</v>
      </c>
    </row>
    <row r="25" spans="1:15" ht="49.5" customHeight="1" x14ac:dyDescent="0.25">
      <c r="A25" s="116">
        <v>2.12</v>
      </c>
      <c r="B25" s="114" t="s">
        <v>125</v>
      </c>
      <c r="C25" s="128" t="s">
        <v>124</v>
      </c>
      <c r="D25" s="114" t="s">
        <v>9</v>
      </c>
      <c r="E25" s="115">
        <v>25</v>
      </c>
      <c r="F25" s="5">
        <f>+'Apu 2.04'!VALOR_APU</f>
        <v>258563.57</v>
      </c>
      <c r="G25" s="478">
        <v>0.22</v>
      </c>
      <c r="H25" s="493">
        <f t="shared" si="4"/>
        <v>56883.985400000005</v>
      </c>
      <c r="I25" s="489">
        <f t="shared" si="5"/>
        <v>1422099.6350000002</v>
      </c>
      <c r="J25" s="496">
        <f t="shared" si="6"/>
        <v>6464089.25</v>
      </c>
      <c r="K25" s="472"/>
      <c r="M25" s="111">
        <f t="shared" si="0"/>
        <v>7886188.8850000007</v>
      </c>
    </row>
    <row r="26" spans="1:15" ht="74.25" customHeight="1" x14ac:dyDescent="0.25">
      <c r="A26" s="116">
        <v>2.13</v>
      </c>
      <c r="B26" s="114" t="s">
        <v>20</v>
      </c>
      <c r="C26" s="128" t="s">
        <v>136</v>
      </c>
      <c r="D26" s="114" t="s">
        <v>9</v>
      </c>
      <c r="E26" s="115">
        <v>25</v>
      </c>
      <c r="F26" s="5">
        <f>+'Apu 2.02'!VALOR_APU</f>
        <v>600983.05000000005</v>
      </c>
      <c r="G26" s="478">
        <v>0.22</v>
      </c>
      <c r="H26" s="493">
        <f t="shared" si="4"/>
        <v>132216.27100000001</v>
      </c>
      <c r="I26" s="489">
        <f t="shared" si="5"/>
        <v>3305406.7750000004</v>
      </c>
      <c r="J26" s="496">
        <f t="shared" si="6"/>
        <v>15024576.25</v>
      </c>
      <c r="K26" s="472"/>
      <c r="M26" s="111">
        <f>+F26*(1+G26)*E26</f>
        <v>18329983.024999999</v>
      </c>
    </row>
    <row r="27" spans="1:15" ht="15.75" thickBot="1" x14ac:dyDescent="0.3">
      <c r="A27" s="123"/>
      <c r="B27" s="124"/>
      <c r="C27" s="124"/>
      <c r="D27" s="124"/>
      <c r="E27" s="124"/>
      <c r="F27" s="125"/>
      <c r="G27" s="479"/>
      <c r="H27" s="125"/>
      <c r="I27" s="490" t="s">
        <v>21</v>
      </c>
      <c r="J27" s="497">
        <f>SUM(J24:J26)</f>
        <v>46450782.25</v>
      </c>
      <c r="M27" s="111">
        <f t="shared" ref="M27" si="7">+F27*(1+G27)*E27</f>
        <v>0</v>
      </c>
    </row>
    <row r="28" spans="1:15" ht="15.75" thickBot="1" x14ac:dyDescent="0.3">
      <c r="A28" s="407"/>
      <c r="B28" s="408"/>
      <c r="C28" s="408"/>
      <c r="D28" s="408"/>
      <c r="E28" s="408"/>
      <c r="F28" s="408"/>
      <c r="G28" s="408"/>
      <c r="H28" s="408"/>
      <c r="I28" s="408"/>
      <c r="J28" s="409"/>
    </row>
    <row r="29" spans="1:15" ht="15.75" thickBot="1" x14ac:dyDescent="0.3">
      <c r="A29" s="246"/>
      <c r="B29" s="247"/>
      <c r="C29" s="247"/>
      <c r="D29" s="247"/>
      <c r="E29" s="247"/>
      <c r="F29" s="410" t="s">
        <v>16</v>
      </c>
      <c r="G29" s="410"/>
      <c r="H29" s="410"/>
      <c r="I29" s="411"/>
      <c r="J29" s="500">
        <f>J21+J14+J27</f>
        <v>184245961.63</v>
      </c>
    </row>
    <row r="30" spans="1:15" x14ac:dyDescent="0.25">
      <c r="A30" s="11"/>
      <c r="B30" s="12"/>
      <c r="C30" s="12"/>
      <c r="D30" s="12"/>
      <c r="E30" s="12"/>
      <c r="F30" s="12"/>
      <c r="G30" s="482"/>
      <c r="H30" s="12"/>
      <c r="I30" s="492"/>
      <c r="J30" s="501"/>
      <c r="M30" s="111">
        <f>10974.67*(1+0.22)*28312.72</f>
        <v>379081765.73892802</v>
      </c>
    </row>
    <row r="31" spans="1:15" x14ac:dyDescent="0.25">
      <c r="A31" s="399" t="s">
        <v>10</v>
      </c>
      <c r="B31" s="400"/>
      <c r="C31" s="400"/>
      <c r="D31" s="400"/>
      <c r="E31" s="400"/>
      <c r="F31" s="400"/>
      <c r="G31" s="483"/>
      <c r="H31" s="15" t="s">
        <v>19</v>
      </c>
      <c r="I31" s="16">
        <v>0.22</v>
      </c>
      <c r="J31" s="502">
        <f>+$J$29*I31</f>
        <v>40534111.558600001</v>
      </c>
    </row>
    <row r="32" spans="1:15" x14ac:dyDescent="0.25">
      <c r="A32" s="399" t="s">
        <v>11</v>
      </c>
      <c r="B32" s="400"/>
      <c r="C32" s="400"/>
      <c r="D32" s="400"/>
      <c r="E32" s="400"/>
      <c r="F32" s="400"/>
      <c r="G32" s="483"/>
      <c r="H32" s="15" t="s">
        <v>12</v>
      </c>
      <c r="I32" s="16">
        <v>0.03</v>
      </c>
      <c r="J32" s="502">
        <f t="shared" ref="J32:J33" si="8">+$J$29*I32</f>
        <v>5527378.8488999996</v>
      </c>
    </row>
    <row r="33" spans="1:14" ht="15.75" thickBot="1" x14ac:dyDescent="0.3">
      <c r="A33" s="401" t="s">
        <v>13</v>
      </c>
      <c r="B33" s="402"/>
      <c r="C33" s="402"/>
      <c r="D33" s="402"/>
      <c r="E33" s="402"/>
      <c r="F33" s="402"/>
      <c r="G33" s="483"/>
      <c r="H33" s="15" t="s">
        <v>14</v>
      </c>
      <c r="I33" s="18">
        <v>0.05</v>
      </c>
      <c r="J33" s="502">
        <f t="shared" si="8"/>
        <v>9212298.0814999994</v>
      </c>
    </row>
    <row r="34" spans="1:14" ht="15.75" thickBot="1" x14ac:dyDescent="0.3">
      <c r="A34" s="403" t="s">
        <v>63</v>
      </c>
      <c r="B34" s="404"/>
      <c r="C34" s="404"/>
      <c r="D34" s="404"/>
      <c r="E34" s="404"/>
      <c r="F34" s="404"/>
      <c r="G34" s="484"/>
      <c r="H34" s="405" t="s">
        <v>15</v>
      </c>
      <c r="I34" s="406"/>
      <c r="J34" s="503">
        <f>SUM(J31:J33)</f>
        <v>55273788.489</v>
      </c>
    </row>
    <row r="35" spans="1:14" ht="15.75" thickBot="1" x14ac:dyDescent="0.3">
      <c r="A35" s="246"/>
      <c r="B35" s="247"/>
      <c r="C35" s="247"/>
      <c r="D35" s="247"/>
      <c r="E35" s="247"/>
      <c r="F35" s="247"/>
      <c r="G35" s="410" t="s">
        <v>47</v>
      </c>
      <c r="H35" s="410"/>
      <c r="I35" s="507"/>
      <c r="J35" s="503">
        <f>+SUM(I13:I26)</f>
        <v>40167402.014739998</v>
      </c>
      <c r="K35" s="111"/>
      <c r="M35"/>
      <c r="N35" s="113">
        <f>+L36-I36</f>
        <v>0</v>
      </c>
    </row>
    <row r="36" spans="1:14" ht="15.75" thickBot="1" x14ac:dyDescent="0.3">
      <c r="A36" s="395" t="s">
        <v>111</v>
      </c>
      <c r="B36" s="396"/>
      <c r="C36" s="396"/>
      <c r="D36" s="396"/>
      <c r="E36" s="396"/>
      <c r="F36" s="396"/>
      <c r="G36" s="485"/>
      <c r="H36" s="397"/>
      <c r="I36" s="398"/>
      <c r="J36" s="504">
        <f>+J29+J34+J35</f>
        <v>279687152.13374001</v>
      </c>
      <c r="M36" s="111">
        <v>279687931.23000002</v>
      </c>
    </row>
    <row r="39" spans="1:14" x14ac:dyDescent="0.25">
      <c r="J39" s="506">
        <f>+J29+J34</f>
        <v>239519750.11899999</v>
      </c>
    </row>
    <row r="40" spans="1:14" x14ac:dyDescent="0.25">
      <c r="J40" s="506"/>
    </row>
    <row r="42" spans="1:14" x14ac:dyDescent="0.25">
      <c r="J42" s="506"/>
    </row>
  </sheetData>
  <mergeCells count="13">
    <mergeCell ref="A32:F32"/>
    <mergeCell ref="A33:F33"/>
    <mergeCell ref="A34:F34"/>
    <mergeCell ref="H34:I34"/>
    <mergeCell ref="A36:F36"/>
    <mergeCell ref="H36:I36"/>
    <mergeCell ref="G35:I35"/>
    <mergeCell ref="A2:J4"/>
    <mergeCell ref="A5:J5"/>
    <mergeCell ref="D6:E6"/>
    <mergeCell ref="A28:J28"/>
    <mergeCell ref="F29:I29"/>
    <mergeCell ref="A31:F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02789-2449-4E41-9ECE-07ED03B91373}">
  <dimension ref="C1:Q11056"/>
  <sheetViews>
    <sheetView view="pageBreakPreview" topLeftCell="A39" zoomScaleNormal="100" zoomScaleSheetLayoutView="100" workbookViewId="0">
      <selection activeCell="O26" sqref="O26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>
        <v>6</v>
      </c>
      <c r="E10" s="286" t="s">
        <v>104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>
        <v>6.01</v>
      </c>
      <c r="E12" s="286" t="s">
        <v>105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 t="s">
        <v>106</v>
      </c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>LOCALIZACIÓN Y REPLANTEO TOPOGRÁFICO DE RED ELÉCTRICA DE BAJA TENSIÓN B.T</v>
      </c>
      <c r="F15" s="298"/>
      <c r="G15" s="298"/>
      <c r="H15" s="298"/>
      <c r="I15" s="299"/>
      <c r="J15" s="303" t="str">
        <f>+VLOOKUP(D16,Presupuesto!A11:D20,4,FALSE)</f>
        <v>ML</v>
      </c>
      <c r="K15" s="156"/>
    </row>
    <row r="16" spans="3:11" ht="20.100000000000001" customHeight="1" x14ac:dyDescent="0.25">
      <c r="C16" s="152"/>
      <c r="D16" s="239">
        <f>+Presupuesto!A12</f>
        <v>1.01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36" customHeight="1" x14ac:dyDescent="0.25">
      <c r="C20" s="166"/>
      <c r="D20" s="280"/>
      <c r="E20" s="281"/>
      <c r="F20" s="282"/>
      <c r="G20" s="167"/>
      <c r="H20" s="168"/>
      <c r="I20" s="240"/>
      <c r="J20" s="170"/>
      <c r="K20" s="171"/>
    </row>
    <row r="21" spans="3:17" s="144" customFormat="1" ht="18" customHeight="1" x14ac:dyDescent="0.25">
      <c r="C21" s="166"/>
      <c r="D21" s="313"/>
      <c r="E21" s="314"/>
      <c r="F21" s="315"/>
      <c r="G21" s="172"/>
      <c r="H21" s="173"/>
      <c r="I21" s="174"/>
      <c r="J21" s="175"/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/>
      <c r="E22" s="317"/>
      <c r="F22" s="317"/>
      <c r="G22" s="172"/>
      <c r="H22" s="173"/>
      <c r="I22" s="174"/>
      <c r="J22" s="175" t="str">
        <f>+IF(D22="","",H22*I22)</f>
        <v/>
      </c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0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107</v>
      </c>
      <c r="E31" s="324"/>
      <c r="F31" s="325"/>
      <c r="G31" s="241" t="s">
        <v>40</v>
      </c>
      <c r="H31" s="242">
        <v>18745</v>
      </c>
      <c r="I31" s="244">
        <v>2.5000000000000001E-2</v>
      </c>
      <c r="J31" s="170">
        <f>+IF(D31="","",H31*I31)</f>
        <v>468.625</v>
      </c>
      <c r="K31" s="153"/>
    </row>
    <row r="32" spans="3:17" ht="18" customHeight="1" x14ac:dyDescent="0.25">
      <c r="C32" s="152"/>
      <c r="D32" s="311" t="s">
        <v>87</v>
      </c>
      <c r="E32" s="312"/>
      <c r="F32" s="312"/>
      <c r="G32" s="185" t="s">
        <v>42</v>
      </c>
      <c r="H32" s="186">
        <v>313</v>
      </c>
      <c r="I32" s="243">
        <v>4.9968051118210864E-2</v>
      </c>
      <c r="J32" s="187">
        <f>+IF(D32="","",H32*I32)</f>
        <v>15.64</v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484.27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115</v>
      </c>
      <c r="E37" s="337"/>
      <c r="F37" s="337"/>
      <c r="G37" s="197" t="s">
        <v>36</v>
      </c>
      <c r="H37" s="198">
        <v>94408.26</v>
      </c>
      <c r="I37" s="255">
        <v>2.5000000000000001E-3</v>
      </c>
      <c r="J37" s="170">
        <f>+IF(D37="","",H37*I37)</f>
        <v>236.02064999999999</v>
      </c>
      <c r="K37" s="153"/>
      <c r="L37" s="189"/>
    </row>
    <row r="38" spans="3:16" ht="18" customHeight="1" x14ac:dyDescent="0.25">
      <c r="C38" s="152"/>
      <c r="D38" s="338" t="s">
        <v>116</v>
      </c>
      <c r="E38" s="339"/>
      <c r="F38" s="340"/>
      <c r="G38" s="197" t="s">
        <v>117</v>
      </c>
      <c r="H38" s="198">
        <v>25624.48</v>
      </c>
      <c r="I38" s="254">
        <v>3.0000000000000001E-3</v>
      </c>
      <c r="J38" s="200">
        <f>(+IF(D38="","",(H38*I38)))</f>
        <v>76.873440000000002</v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312.89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797.16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797.16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797.16</v>
      </c>
      <c r="K53" s="153"/>
      <c r="N53" s="206"/>
      <c r="O53" s="206">
        <f>VALOR_APU</f>
        <v>797.16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11056" spans="8:8" x14ac:dyDescent="0.25">
      <c r="H11056" s="145">
        <v>0</v>
      </c>
    </row>
  </sheetData>
  <mergeCells count="65">
    <mergeCell ref="D61:F61"/>
    <mergeCell ref="G61:J61"/>
    <mergeCell ref="D57:F57"/>
    <mergeCell ref="G57:J57"/>
    <mergeCell ref="D58:F58"/>
    <mergeCell ref="D59:F59"/>
    <mergeCell ref="G59:J59"/>
    <mergeCell ref="D60:F60"/>
    <mergeCell ref="G60:J60"/>
    <mergeCell ref="D56:F56"/>
    <mergeCell ref="G56:J56"/>
    <mergeCell ref="D46:I46"/>
    <mergeCell ref="D48:F48"/>
    <mergeCell ref="D49:F49"/>
    <mergeCell ref="D50:F50"/>
    <mergeCell ref="D51:I51"/>
    <mergeCell ref="D52:F52"/>
    <mergeCell ref="G52:J52"/>
    <mergeCell ref="D53:I53"/>
    <mergeCell ref="D54:F54"/>
    <mergeCell ref="G54:J54"/>
    <mergeCell ref="D55:F55"/>
    <mergeCell ref="G55:J55"/>
    <mergeCell ref="D45:F45"/>
    <mergeCell ref="G33:I33"/>
    <mergeCell ref="D34:J34"/>
    <mergeCell ref="D35:J35"/>
    <mergeCell ref="D36:F36"/>
    <mergeCell ref="D37:F37"/>
    <mergeCell ref="D38:F38"/>
    <mergeCell ref="D39:F39"/>
    <mergeCell ref="D40:F40"/>
    <mergeCell ref="G41:I41"/>
    <mergeCell ref="D42:J42"/>
    <mergeCell ref="D43:I43"/>
    <mergeCell ref="G27:I27"/>
    <mergeCell ref="D28:J28"/>
    <mergeCell ref="D29:J29"/>
    <mergeCell ref="D30:F30"/>
    <mergeCell ref="D31:F31"/>
    <mergeCell ref="D32:F32"/>
    <mergeCell ref="D21:F21"/>
    <mergeCell ref="D22:F22"/>
    <mergeCell ref="D23:F23"/>
    <mergeCell ref="D24:F24"/>
    <mergeCell ref="D25:F25"/>
    <mergeCell ref="D26:F26"/>
    <mergeCell ref="D20:F20"/>
    <mergeCell ref="E9:J9"/>
    <mergeCell ref="E10:J10"/>
    <mergeCell ref="E11:J11"/>
    <mergeCell ref="E12:J12"/>
    <mergeCell ref="E13:I14"/>
    <mergeCell ref="J13:J14"/>
    <mergeCell ref="E15:I16"/>
    <mergeCell ref="J15:J16"/>
    <mergeCell ref="D17:J17"/>
    <mergeCell ref="D18:J18"/>
    <mergeCell ref="D19:F19"/>
    <mergeCell ref="D8:J8"/>
    <mergeCell ref="C2:J2"/>
    <mergeCell ref="D4:E6"/>
    <mergeCell ref="F4:H6"/>
    <mergeCell ref="I4:J6"/>
    <mergeCell ref="D7:J7"/>
  </mergeCells>
  <conditionalFormatting sqref="P27">
    <cfRule type="cellIs" dxfId="18" priority="3" operator="lessThan">
      <formula>0</formula>
    </cfRule>
  </conditionalFormatting>
  <conditionalFormatting sqref="P41">
    <cfRule type="cellIs" dxfId="17" priority="2" operator="lessThan">
      <formula>0</formula>
    </cfRule>
  </conditionalFormatting>
  <conditionalFormatting sqref="P53">
    <cfRule type="cellIs" dxfId="16" priority="1" operator="lessThan">
      <formula>0</formula>
    </cfRule>
  </conditionalFormatting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8A599-85AC-4F94-B2BB-2206C80F2A1C}">
  <dimension ref="C1:Q11056"/>
  <sheetViews>
    <sheetView view="pageBreakPreview" topLeftCell="B17" zoomScale="60" zoomScaleNormal="100" workbookViewId="0">
      <selection activeCell="I37" sqref="I37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>
        <v>6</v>
      </c>
      <c r="E10" s="286" t="s">
        <v>104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>
        <v>6.02</v>
      </c>
      <c r="E12" s="286" t="s">
        <v>109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 t="s">
        <v>106</v>
      </c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>SUMINISTRO, ARRIMADA, HINCADA Y PLOMADA DE POSTE DE FERROCONCRETO DE 8 M 510 KGF. INCLUYE EXCAVACIÓN</v>
      </c>
      <c r="F15" s="298"/>
      <c r="G15" s="298"/>
      <c r="H15" s="298"/>
      <c r="I15" s="299"/>
      <c r="J15" s="303" t="str">
        <f>+VLOOKUP(D16,Presupuesto!A11:D20,4,FALSE)</f>
        <v>UND</v>
      </c>
      <c r="K15" s="156"/>
    </row>
    <row r="16" spans="3:11" ht="20.100000000000001" customHeight="1" x14ac:dyDescent="0.25">
      <c r="C16" s="152"/>
      <c r="D16" s="239">
        <f>+Presupuesto!A16</f>
        <v>2.0099999999999998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36" customHeight="1" x14ac:dyDescent="0.25">
      <c r="C20" s="166"/>
      <c r="D20" s="280" t="s">
        <v>32</v>
      </c>
      <c r="E20" s="281"/>
      <c r="F20" s="282"/>
      <c r="G20" s="167" t="s">
        <v>9</v>
      </c>
      <c r="H20" s="168">
        <v>600000</v>
      </c>
      <c r="I20" s="169">
        <v>1</v>
      </c>
      <c r="J20" s="170">
        <f>ROUND(H20*I20,2)</f>
        <v>600000</v>
      </c>
      <c r="K20" s="171"/>
    </row>
    <row r="21" spans="3:17" s="144" customFormat="1" ht="18" customHeight="1" x14ac:dyDescent="0.25">
      <c r="C21" s="166"/>
      <c r="D21" s="313"/>
      <c r="E21" s="314"/>
      <c r="F21" s="315"/>
      <c r="G21" s="172"/>
      <c r="H21" s="173"/>
      <c r="I21" s="174"/>
      <c r="J21" s="175"/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/>
      <c r="E22" s="317"/>
      <c r="F22" s="317"/>
      <c r="G22" s="172"/>
      <c r="H22" s="173"/>
      <c r="I22" s="174"/>
      <c r="J22" s="175" t="str">
        <f>+IF(D22="","",H22*I22)</f>
        <v/>
      </c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600000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87</v>
      </c>
      <c r="E31" s="324"/>
      <c r="F31" s="325"/>
      <c r="G31" s="241" t="s">
        <v>42</v>
      </c>
      <c r="H31" s="242">
        <v>364165</v>
      </c>
      <c r="I31" s="259">
        <v>4.9999945079840187E-2</v>
      </c>
      <c r="J31" s="170">
        <f>+IF(D31="","",H31*I31)</f>
        <v>18208.230000000003</v>
      </c>
      <c r="K31" s="153"/>
    </row>
    <row r="32" spans="3:17" ht="18" customHeight="1" x14ac:dyDescent="0.25">
      <c r="C32" s="152"/>
      <c r="D32" s="311" t="s">
        <v>110</v>
      </c>
      <c r="E32" s="312"/>
      <c r="F32" s="312"/>
      <c r="G32" s="185" t="s">
        <v>40</v>
      </c>
      <c r="H32" s="186">
        <v>250000</v>
      </c>
      <c r="I32" s="245">
        <v>0.55000000000000004</v>
      </c>
      <c r="J32" s="187">
        <f>+IF(D32="","",H32*I32)</f>
        <v>137500</v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155708.23000000001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35</v>
      </c>
      <c r="E37" s="337"/>
      <c r="F37" s="337"/>
      <c r="G37" s="197" t="s">
        <v>36</v>
      </c>
      <c r="H37" s="198">
        <v>60694.11</v>
      </c>
      <c r="I37" s="199">
        <v>4</v>
      </c>
      <c r="J37" s="170">
        <f>+IF(D37="","",H37*I37)</f>
        <v>242776.44</v>
      </c>
      <c r="K37" s="153"/>
      <c r="L37" s="189"/>
    </row>
    <row r="38" spans="3:16" ht="18" customHeight="1" x14ac:dyDescent="0.25">
      <c r="C38" s="152"/>
      <c r="D38" s="338"/>
      <c r="E38" s="339"/>
      <c r="F38" s="340"/>
      <c r="G38" s="197"/>
      <c r="H38" s="198" t="s">
        <v>85</v>
      </c>
      <c r="I38" s="199"/>
      <c r="J38" s="200" t="str">
        <f>(+IF(D38="","",(H38*I38)))</f>
        <v/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242776.44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998484.67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998484.67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998484.67</v>
      </c>
      <c r="K53" s="153"/>
      <c r="N53" s="206"/>
      <c r="O53" s="206">
        <f>VALOR_APU</f>
        <v>998484.67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11056" spans="8:8" x14ac:dyDescent="0.25">
      <c r="H11056" s="145">
        <v>0</v>
      </c>
    </row>
  </sheetData>
  <mergeCells count="65">
    <mergeCell ref="D61:F61"/>
    <mergeCell ref="G61:J61"/>
    <mergeCell ref="D57:F57"/>
    <mergeCell ref="G57:J57"/>
    <mergeCell ref="D58:F58"/>
    <mergeCell ref="D59:F59"/>
    <mergeCell ref="G59:J59"/>
    <mergeCell ref="D60:F60"/>
    <mergeCell ref="G60:J60"/>
    <mergeCell ref="D56:F56"/>
    <mergeCell ref="G56:J56"/>
    <mergeCell ref="D46:I46"/>
    <mergeCell ref="D48:F48"/>
    <mergeCell ref="D49:F49"/>
    <mergeCell ref="D50:F50"/>
    <mergeCell ref="D51:I51"/>
    <mergeCell ref="D52:F52"/>
    <mergeCell ref="G52:J52"/>
    <mergeCell ref="D53:I53"/>
    <mergeCell ref="D54:F54"/>
    <mergeCell ref="G54:J54"/>
    <mergeCell ref="D55:F55"/>
    <mergeCell ref="G55:J55"/>
    <mergeCell ref="D45:F45"/>
    <mergeCell ref="G33:I33"/>
    <mergeCell ref="D34:J34"/>
    <mergeCell ref="D35:J35"/>
    <mergeCell ref="D36:F36"/>
    <mergeCell ref="D37:F37"/>
    <mergeCell ref="D38:F38"/>
    <mergeCell ref="D39:F39"/>
    <mergeCell ref="D40:F40"/>
    <mergeCell ref="G41:I41"/>
    <mergeCell ref="D42:J42"/>
    <mergeCell ref="D43:I43"/>
    <mergeCell ref="G27:I27"/>
    <mergeCell ref="D28:J28"/>
    <mergeCell ref="D29:J29"/>
    <mergeCell ref="D30:F30"/>
    <mergeCell ref="D31:F31"/>
    <mergeCell ref="D32:F32"/>
    <mergeCell ref="D21:F21"/>
    <mergeCell ref="D22:F22"/>
    <mergeCell ref="D23:F23"/>
    <mergeCell ref="D24:F24"/>
    <mergeCell ref="D25:F25"/>
    <mergeCell ref="D26:F26"/>
    <mergeCell ref="D20:F20"/>
    <mergeCell ref="E9:J9"/>
    <mergeCell ref="E10:J10"/>
    <mergeCell ref="E11:J11"/>
    <mergeCell ref="E12:J12"/>
    <mergeCell ref="E13:I14"/>
    <mergeCell ref="J13:J14"/>
    <mergeCell ref="E15:I16"/>
    <mergeCell ref="J15:J16"/>
    <mergeCell ref="D17:J17"/>
    <mergeCell ref="D18:J18"/>
    <mergeCell ref="D19:F19"/>
    <mergeCell ref="D8:J8"/>
    <mergeCell ref="C2:J2"/>
    <mergeCell ref="D4:E6"/>
    <mergeCell ref="F4:H6"/>
    <mergeCell ref="I4:J6"/>
    <mergeCell ref="D7:J7"/>
  </mergeCells>
  <conditionalFormatting sqref="P27">
    <cfRule type="cellIs" dxfId="15" priority="3" operator="lessThan">
      <formula>0</formula>
    </cfRule>
  </conditionalFormatting>
  <conditionalFormatting sqref="P41">
    <cfRule type="cellIs" dxfId="14" priority="2" operator="lessThan">
      <formula>0</formula>
    </cfRule>
  </conditionalFormatting>
  <conditionalFormatting sqref="P53">
    <cfRule type="cellIs" dxfId="13" priority="1" operator="lessThan">
      <formula>0</formula>
    </cfRule>
  </conditionalFormatting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6055-D1B8-439D-AD57-4A65694A8F08}">
  <dimension ref="B1:Q11063"/>
  <sheetViews>
    <sheetView view="pageBreakPreview" topLeftCell="B38" zoomScale="85" zoomScaleNormal="100" zoomScaleSheetLayoutView="85" workbookViewId="0">
      <selection activeCell="H20" sqref="H20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/>
      <c r="E10" s="286" t="s">
        <v>104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/>
      <c r="E12" s="286" t="s">
        <v>109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/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>SUMINISTRO E INSTALACIÓN LUMINARIA LED SOLAR INTEGRADA PARA ALUMBRADO PUBLICO DE HASTA 60W CON FLUJO LUMINOSO MÍNIMO DE 7500 LUMENES A 6000 KELVIN   CON 50.000 HORAS DE VIDA UTIL</v>
      </c>
      <c r="F15" s="298"/>
      <c r="G15" s="298"/>
      <c r="H15" s="298"/>
      <c r="I15" s="299"/>
      <c r="J15" s="303" t="str">
        <f>+VLOOKUP(D16,Presupuesto!A11:D20,4,FALSE)</f>
        <v>UND</v>
      </c>
      <c r="K15" s="156"/>
    </row>
    <row r="16" spans="3:11" ht="20.100000000000001" customHeight="1" x14ac:dyDescent="0.25">
      <c r="C16" s="152"/>
      <c r="D16" s="239">
        <f>+Presupuesto!A17</f>
        <v>2.02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36" customHeight="1" x14ac:dyDescent="0.25">
      <c r="C20" s="166"/>
      <c r="D20" s="280" t="s">
        <v>135</v>
      </c>
      <c r="E20" s="281"/>
      <c r="F20" s="282"/>
      <c r="G20" s="167" t="s">
        <v>9</v>
      </c>
      <c r="H20" s="168">
        <v>500000</v>
      </c>
      <c r="I20" s="169">
        <v>1</v>
      </c>
      <c r="J20" s="170">
        <f>ROUND(H20*I20,2)</f>
        <v>500000</v>
      </c>
      <c r="K20" s="171"/>
    </row>
    <row r="21" spans="3:17" s="144" customFormat="1" ht="18" customHeight="1" x14ac:dyDescent="0.25">
      <c r="C21" s="166"/>
      <c r="D21" s="313"/>
      <c r="E21" s="314"/>
      <c r="F21" s="315"/>
      <c r="G21" s="172"/>
      <c r="H21" s="173"/>
      <c r="I21" s="174"/>
      <c r="J21" s="175"/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/>
      <c r="E22" s="317"/>
      <c r="F22" s="317"/>
      <c r="G22" s="172"/>
      <c r="H22" s="173"/>
      <c r="I22" s="174"/>
      <c r="J22" s="175" t="str">
        <f>+IF(D22="","",H22*I22)</f>
        <v/>
      </c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500000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87</v>
      </c>
      <c r="E31" s="324"/>
      <c r="F31" s="325"/>
      <c r="G31" s="241" t="s">
        <v>42</v>
      </c>
      <c r="H31" s="242">
        <v>48555</v>
      </c>
      <c r="I31" s="184">
        <v>5.0000205952013183E-2</v>
      </c>
      <c r="J31" s="170">
        <f>+IF(D31="","",H31*I31)</f>
        <v>2427.7600000000002</v>
      </c>
      <c r="K31" s="153"/>
    </row>
    <row r="32" spans="3:17" ht="18" customHeight="1" x14ac:dyDescent="0.25">
      <c r="C32" s="152"/>
      <c r="D32" s="311" t="s">
        <v>110</v>
      </c>
      <c r="E32" s="312"/>
      <c r="F32" s="312"/>
      <c r="G32" s="185" t="s">
        <v>40</v>
      </c>
      <c r="H32" s="186">
        <v>250000</v>
      </c>
      <c r="I32" s="256">
        <v>0.2</v>
      </c>
      <c r="J32" s="187">
        <f>+IF(D32="","",H32*I32)</f>
        <v>50000</v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52427.76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35</v>
      </c>
      <c r="E37" s="337"/>
      <c r="F37" s="337"/>
      <c r="G37" s="197" t="s">
        <v>36</v>
      </c>
      <c r="H37" s="198">
        <v>60694.11</v>
      </c>
      <c r="I37" s="199">
        <v>0.8</v>
      </c>
      <c r="J37" s="170">
        <f>+IF(D37="","",H37*I37)</f>
        <v>48555.288</v>
      </c>
      <c r="K37" s="153"/>
      <c r="L37" s="189"/>
    </row>
    <row r="38" spans="3:16" ht="18" customHeight="1" x14ac:dyDescent="0.25">
      <c r="C38" s="152"/>
      <c r="D38" s="338"/>
      <c r="E38" s="339"/>
      <c r="F38" s="340"/>
      <c r="G38" s="197"/>
      <c r="H38" s="198" t="s">
        <v>85</v>
      </c>
      <c r="I38" s="199"/>
      <c r="J38" s="200" t="str">
        <f>(+IF(D38="","",(H38*I38)))</f>
        <v/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48555.29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600983.05000000005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600983.05000000005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600983.05000000005</v>
      </c>
      <c r="K53" s="153"/>
      <c r="N53" s="206"/>
      <c r="O53" s="206">
        <f>VALOR_APU</f>
        <v>600983.05000000005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68" spans="2:10" ht="16.5" thickBot="1" x14ac:dyDescent="0.3"/>
    <row r="69" spans="2:10" ht="15.75" customHeight="1" x14ac:dyDescent="0.25">
      <c r="B69" s="420" t="s">
        <v>98</v>
      </c>
      <c r="C69" s="421"/>
      <c r="D69" s="421"/>
      <c r="E69" s="421"/>
      <c r="F69" s="421"/>
      <c r="G69" s="421"/>
      <c r="H69" s="421"/>
      <c r="I69" s="421"/>
      <c r="J69" s="422"/>
    </row>
    <row r="70" spans="2:10" ht="21.95" customHeight="1" x14ac:dyDescent="0.25">
      <c r="B70" s="423" t="str">
        <f>+D20</f>
        <v>LUMINARIA LED SOLAR INTEGRADA PARA ALUMBRADO PUBLICO DE HASTA 60 W CON FLUJO LUMINOSO MÍNIMO DE 7500 LUMENES A 6000 K Y AUTONOMIA DE 12 HORAS CON 50.000 HORAS DE VIDA UTIL</v>
      </c>
      <c r="C70" s="424"/>
      <c r="D70" s="424"/>
      <c r="E70" s="424"/>
      <c r="F70" s="424"/>
      <c r="G70" s="424"/>
      <c r="H70" s="424"/>
      <c r="I70" s="424"/>
      <c r="J70" s="425"/>
    </row>
    <row r="71" spans="2:10" ht="16.5" customHeight="1" x14ac:dyDescent="0.25">
      <c r="B71" s="426" t="s">
        <v>99</v>
      </c>
      <c r="C71" s="427"/>
      <c r="D71" s="427"/>
      <c r="E71" s="427"/>
      <c r="F71" s="427"/>
      <c r="G71" s="427"/>
      <c r="H71" s="427"/>
      <c r="I71" s="428"/>
      <c r="J71" s="236" t="s">
        <v>100</v>
      </c>
    </row>
    <row r="72" spans="2:10" ht="15.75" customHeight="1" x14ac:dyDescent="0.25">
      <c r="B72" s="414" t="s">
        <v>112</v>
      </c>
      <c r="C72" s="415"/>
      <c r="D72" s="415"/>
      <c r="E72" s="415"/>
      <c r="F72" s="415"/>
      <c r="G72" s="415"/>
      <c r="H72" s="415"/>
      <c r="I72" s="416"/>
      <c r="J72" s="237">
        <v>637490</v>
      </c>
    </row>
    <row r="73" spans="2:10" x14ac:dyDescent="0.25">
      <c r="B73" s="414" t="s">
        <v>113</v>
      </c>
      <c r="C73" s="415"/>
      <c r="D73" s="415"/>
      <c r="E73" s="415"/>
      <c r="F73" s="415"/>
      <c r="G73" s="415"/>
      <c r="H73" s="415"/>
      <c r="I73" s="416"/>
      <c r="J73" s="237">
        <v>753800</v>
      </c>
    </row>
    <row r="74" spans="2:10" x14ac:dyDescent="0.25">
      <c r="B74" s="414" t="s">
        <v>114</v>
      </c>
      <c r="C74" s="415"/>
      <c r="D74" s="415"/>
      <c r="E74" s="415"/>
      <c r="F74" s="415"/>
      <c r="G74" s="415"/>
      <c r="H74" s="415"/>
      <c r="I74" s="416"/>
      <c r="J74" s="237">
        <v>907970</v>
      </c>
    </row>
    <row r="75" spans="2:10" ht="16.5" customHeight="1" thickBot="1" x14ac:dyDescent="0.3">
      <c r="B75" s="417" t="s">
        <v>101</v>
      </c>
      <c r="C75" s="418"/>
      <c r="D75" s="418"/>
      <c r="E75" s="418"/>
      <c r="F75" s="418"/>
      <c r="G75" s="418"/>
      <c r="H75" s="418"/>
      <c r="I75" s="419"/>
      <c r="J75" s="238">
        <f>AVERAGE(J72:J74)</f>
        <v>766420</v>
      </c>
    </row>
    <row r="11063" spans="8:8" x14ac:dyDescent="0.25">
      <c r="H11063" s="145">
        <v>0</v>
      </c>
    </row>
  </sheetData>
  <mergeCells count="72">
    <mergeCell ref="B73:I73"/>
    <mergeCell ref="B74:I74"/>
    <mergeCell ref="B75:I75"/>
    <mergeCell ref="D61:F61"/>
    <mergeCell ref="G61:J61"/>
    <mergeCell ref="B69:J69"/>
    <mergeCell ref="B70:J70"/>
    <mergeCell ref="B71:I71"/>
    <mergeCell ref="B72:I72"/>
    <mergeCell ref="D60:F60"/>
    <mergeCell ref="G60:J60"/>
    <mergeCell ref="D53:I53"/>
    <mergeCell ref="D54:F54"/>
    <mergeCell ref="G54:J54"/>
    <mergeCell ref="D55:F55"/>
    <mergeCell ref="G55:J55"/>
    <mergeCell ref="D56:F56"/>
    <mergeCell ref="G56:J56"/>
    <mergeCell ref="D57:F57"/>
    <mergeCell ref="G57:J57"/>
    <mergeCell ref="D58:F58"/>
    <mergeCell ref="D59:F59"/>
    <mergeCell ref="G59:J59"/>
    <mergeCell ref="D52:F52"/>
    <mergeCell ref="G52:J52"/>
    <mergeCell ref="D39:F39"/>
    <mergeCell ref="D40:F40"/>
    <mergeCell ref="G41:I41"/>
    <mergeCell ref="D42:J42"/>
    <mergeCell ref="D43:I43"/>
    <mergeCell ref="D45:F45"/>
    <mergeCell ref="D46:I46"/>
    <mergeCell ref="D48:F48"/>
    <mergeCell ref="D49:F49"/>
    <mergeCell ref="D50:F50"/>
    <mergeCell ref="D51:I51"/>
    <mergeCell ref="D38:F38"/>
    <mergeCell ref="G27:I27"/>
    <mergeCell ref="D28:J28"/>
    <mergeCell ref="D29:J29"/>
    <mergeCell ref="D30:F30"/>
    <mergeCell ref="D31:F31"/>
    <mergeCell ref="D32:F32"/>
    <mergeCell ref="G33:I33"/>
    <mergeCell ref="D34:J34"/>
    <mergeCell ref="D35:J35"/>
    <mergeCell ref="D36:F36"/>
    <mergeCell ref="D37:F37"/>
    <mergeCell ref="D26:F26"/>
    <mergeCell ref="E15:I16"/>
    <mergeCell ref="J15:J16"/>
    <mergeCell ref="D17:J17"/>
    <mergeCell ref="D18:J18"/>
    <mergeCell ref="D19:F19"/>
    <mergeCell ref="D20:F20"/>
    <mergeCell ref="D21:F21"/>
    <mergeCell ref="D22:F22"/>
    <mergeCell ref="D23:F23"/>
    <mergeCell ref="D24:F24"/>
    <mergeCell ref="D25:F25"/>
    <mergeCell ref="E9:J9"/>
    <mergeCell ref="E10:J10"/>
    <mergeCell ref="E11:J11"/>
    <mergeCell ref="E12:J12"/>
    <mergeCell ref="E13:I14"/>
    <mergeCell ref="J13:J14"/>
    <mergeCell ref="D8:J8"/>
    <mergeCell ref="C2:J2"/>
    <mergeCell ref="D4:E6"/>
    <mergeCell ref="F4:H6"/>
    <mergeCell ref="I4:J6"/>
    <mergeCell ref="D7:J7"/>
  </mergeCells>
  <conditionalFormatting sqref="P27">
    <cfRule type="cellIs" dxfId="12" priority="3" operator="lessThan">
      <formula>0</formula>
    </cfRule>
  </conditionalFormatting>
  <conditionalFormatting sqref="P41">
    <cfRule type="cellIs" dxfId="11" priority="2" operator="lessThan">
      <formula>0</formula>
    </cfRule>
  </conditionalFormatting>
  <conditionalFormatting sqref="P53">
    <cfRule type="cellIs" dxfId="10" priority="1" operator="lessThan">
      <formula>0</formula>
    </cfRule>
  </conditionalFormatting>
  <pageMargins left="0.7" right="0.7" top="0.75" bottom="0.75" header="0.3" footer="0.3"/>
  <pageSetup paperSize="9" scale="6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11E6D-E87B-4903-BD6C-74435435B94F}">
  <dimension ref="B1:Q11063"/>
  <sheetViews>
    <sheetView view="pageBreakPreview" topLeftCell="B18" zoomScale="60" zoomScaleNormal="100" workbookViewId="0">
      <selection activeCell="H20" sqref="H20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>
        <v>7</v>
      </c>
      <c r="E10" s="286" t="s">
        <v>120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>
        <v>7.06</v>
      </c>
      <c r="E12" s="286" t="s">
        <v>123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 t="s">
        <v>118</v>
      </c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>SUMINISTRO E INSTALACIÓN DE LUMINARIA PARA ALUMBRADO PÚBLICO LED DE 80 W EMITIENDO ENTRE MÍNIMO 10.400 LUMENES EN 4000 KELVIN. NO INCLUYE DRIVER PROGRAMABLE PARA TELEGESTIÓN</v>
      </c>
      <c r="F15" s="298"/>
      <c r="G15" s="298"/>
      <c r="H15" s="298"/>
      <c r="I15" s="299"/>
      <c r="J15" s="303" t="str">
        <f>+VLOOKUP(D16,Presupuesto!A11:D20,4,FALSE)</f>
        <v>UND</v>
      </c>
      <c r="K15" s="156"/>
    </row>
    <row r="16" spans="3:11" ht="20.100000000000001" customHeight="1" x14ac:dyDescent="0.25">
      <c r="C16" s="152"/>
      <c r="D16" s="239">
        <f>+Presupuesto!A18</f>
        <v>2.0299999999999998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43.5" customHeight="1" x14ac:dyDescent="0.25">
      <c r="C20" s="166"/>
      <c r="D20" s="280" t="s">
        <v>121</v>
      </c>
      <c r="E20" s="281"/>
      <c r="F20" s="282"/>
      <c r="G20" s="167" t="s">
        <v>9</v>
      </c>
      <c r="H20" s="168">
        <v>380000</v>
      </c>
      <c r="I20" s="169">
        <v>1</v>
      </c>
      <c r="J20" s="170">
        <f>ROUND(H20*I20,2)</f>
        <v>380000</v>
      </c>
      <c r="K20" s="171"/>
    </row>
    <row r="21" spans="3:17" s="144" customFormat="1" ht="27" customHeight="1" x14ac:dyDescent="0.25">
      <c r="C21" s="166"/>
      <c r="D21" s="313" t="s">
        <v>122</v>
      </c>
      <c r="E21" s="314"/>
      <c r="F21" s="315"/>
      <c r="G21" s="172" t="s">
        <v>9</v>
      </c>
      <c r="H21" s="173">
        <v>54320</v>
      </c>
      <c r="I21" s="174">
        <v>1</v>
      </c>
      <c r="J21" s="258">
        <f>ROUND(H21*I21,2)</f>
        <v>54320</v>
      </c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/>
      <c r="E22" s="317"/>
      <c r="F22" s="317"/>
      <c r="G22" s="172"/>
      <c r="H22" s="173"/>
      <c r="I22" s="174"/>
      <c r="J22" s="175" t="str">
        <f>+IF(D22="","",H22*I22)</f>
        <v/>
      </c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434320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87</v>
      </c>
      <c r="E31" s="324"/>
      <c r="F31" s="325"/>
      <c r="G31" s="241" t="s">
        <v>42</v>
      </c>
      <c r="H31" s="242">
        <v>48555</v>
      </c>
      <c r="I31" s="184">
        <v>5.0000205952013183E-2</v>
      </c>
      <c r="J31" s="170">
        <f>+IF(D31="","",H31*I31)</f>
        <v>2427.7600000000002</v>
      </c>
      <c r="K31" s="153"/>
    </row>
    <row r="32" spans="3:17" ht="18" customHeight="1" x14ac:dyDescent="0.25">
      <c r="C32" s="152"/>
      <c r="D32" s="311" t="s">
        <v>110</v>
      </c>
      <c r="E32" s="312"/>
      <c r="F32" s="312"/>
      <c r="G32" s="185" t="s">
        <v>40</v>
      </c>
      <c r="H32" s="186">
        <v>250000</v>
      </c>
      <c r="I32" s="256">
        <v>0.2</v>
      </c>
      <c r="J32" s="187">
        <f>+IF(D32="","",H32*I32)</f>
        <v>50000</v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52427.76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35</v>
      </c>
      <c r="E37" s="337"/>
      <c r="F37" s="337"/>
      <c r="G37" s="197" t="s">
        <v>36</v>
      </c>
      <c r="H37" s="198">
        <v>60694.11</v>
      </c>
      <c r="I37" s="199">
        <v>0.8</v>
      </c>
      <c r="J37" s="170">
        <f>+IF(D37="","",H37*I37)</f>
        <v>48555.288</v>
      </c>
      <c r="K37" s="153"/>
      <c r="L37" s="189"/>
    </row>
    <row r="38" spans="3:16" ht="18" customHeight="1" x14ac:dyDescent="0.25">
      <c r="C38" s="152"/>
      <c r="D38" s="338"/>
      <c r="E38" s="339"/>
      <c r="F38" s="340"/>
      <c r="G38" s="197"/>
      <c r="H38" s="198" t="s">
        <v>85</v>
      </c>
      <c r="I38" s="199"/>
      <c r="J38" s="200" t="str">
        <f>(+IF(D38="","",(H38*I38)))</f>
        <v/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48555.29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535303.05000000005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535303.05000000005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535303.05000000005</v>
      </c>
      <c r="K53" s="153"/>
      <c r="N53" s="206"/>
      <c r="O53" s="206">
        <f>VALOR_APU</f>
        <v>535303.05000000005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68" spans="2:10" ht="21.95" customHeight="1" x14ac:dyDescent="0.25">
      <c r="B68" s="423" t="s">
        <v>133</v>
      </c>
      <c r="C68" s="424"/>
      <c r="D68" s="424"/>
      <c r="E68" s="424"/>
      <c r="F68" s="424"/>
      <c r="G68" s="424"/>
      <c r="H68" s="424"/>
      <c r="I68" s="424"/>
      <c r="J68" s="425"/>
    </row>
    <row r="69" spans="2:10" ht="21.95" customHeight="1" x14ac:dyDescent="0.25">
      <c r="B69" s="423" t="str">
        <f>+D20</f>
        <v>LUMINARIA PARA ALUMBRADO PUBLICO LED DE 80 W EMITIENDO MÍNIMO 10.400 LUMENES EN 4.000 KELVIN. NO INCLUYE DRIVER PROGRAMABLE PARA TELEGESTIÓN</v>
      </c>
      <c r="C69" s="424"/>
      <c r="D69" s="424"/>
      <c r="E69" s="424"/>
      <c r="F69" s="424"/>
      <c r="G69" s="424"/>
      <c r="H69" s="424"/>
      <c r="I69" s="424"/>
      <c r="J69" s="425"/>
    </row>
    <row r="70" spans="2:10" ht="16.5" customHeight="1" x14ac:dyDescent="0.25">
      <c r="B70" s="426" t="s">
        <v>99</v>
      </c>
      <c r="C70" s="427"/>
      <c r="D70" s="427"/>
      <c r="E70" s="427"/>
      <c r="F70" s="427"/>
      <c r="G70" s="427"/>
      <c r="H70" s="427"/>
      <c r="I70" s="428"/>
      <c r="J70" s="236" t="s">
        <v>100</v>
      </c>
    </row>
    <row r="71" spans="2:10" ht="15.75" customHeight="1" x14ac:dyDescent="0.25">
      <c r="B71" s="414" t="s">
        <v>132</v>
      </c>
      <c r="C71" s="415"/>
      <c r="D71" s="415"/>
      <c r="E71" s="415"/>
      <c r="F71" s="415"/>
      <c r="G71" s="415"/>
      <c r="H71" s="415"/>
      <c r="I71" s="416"/>
      <c r="J71" s="237">
        <v>579900</v>
      </c>
    </row>
    <row r="72" spans="2:10" x14ac:dyDescent="0.25">
      <c r="B72" s="414" t="s">
        <v>112</v>
      </c>
      <c r="C72" s="415"/>
      <c r="D72" s="415"/>
      <c r="E72" s="415"/>
      <c r="F72" s="415"/>
      <c r="G72" s="415"/>
      <c r="H72" s="415"/>
      <c r="I72" s="416"/>
      <c r="J72" s="237">
        <v>597590</v>
      </c>
    </row>
    <row r="73" spans="2:10" x14ac:dyDescent="0.25">
      <c r="B73" s="414" t="s">
        <v>114</v>
      </c>
      <c r="C73" s="415"/>
      <c r="D73" s="415"/>
      <c r="E73" s="415"/>
      <c r="F73" s="415"/>
      <c r="G73" s="415"/>
      <c r="H73" s="415"/>
      <c r="I73" s="416"/>
      <c r="J73" s="237">
        <v>527300</v>
      </c>
    </row>
    <row r="74" spans="2:10" ht="16.5" customHeight="1" thickBot="1" x14ac:dyDescent="0.3">
      <c r="B74" s="417" t="s">
        <v>101</v>
      </c>
      <c r="C74" s="418"/>
      <c r="D74" s="418"/>
      <c r="E74" s="418"/>
      <c r="F74" s="418"/>
      <c r="G74" s="418"/>
      <c r="H74" s="418"/>
      <c r="I74" s="419"/>
      <c r="J74" s="238">
        <f>AVERAGE(J71:J73)</f>
        <v>568263.33333333337</v>
      </c>
    </row>
    <row r="11063" spans="8:8" x14ac:dyDescent="0.25">
      <c r="H11063" s="145">
        <v>0</v>
      </c>
    </row>
  </sheetData>
  <mergeCells count="72">
    <mergeCell ref="B74:I74"/>
    <mergeCell ref="B69:J69"/>
    <mergeCell ref="B68:J68"/>
    <mergeCell ref="B70:I70"/>
    <mergeCell ref="B71:I71"/>
    <mergeCell ref="B72:I72"/>
    <mergeCell ref="B73:I73"/>
    <mergeCell ref="D61:F61"/>
    <mergeCell ref="G61:J61"/>
    <mergeCell ref="D57:F57"/>
    <mergeCell ref="G57:J57"/>
    <mergeCell ref="D58:F58"/>
    <mergeCell ref="D59:F59"/>
    <mergeCell ref="G59:J59"/>
    <mergeCell ref="D60:F60"/>
    <mergeCell ref="G60:J60"/>
    <mergeCell ref="D56:F56"/>
    <mergeCell ref="G56:J56"/>
    <mergeCell ref="D46:I46"/>
    <mergeCell ref="D48:F48"/>
    <mergeCell ref="D49:F49"/>
    <mergeCell ref="D50:F50"/>
    <mergeCell ref="D51:I51"/>
    <mergeCell ref="D52:F52"/>
    <mergeCell ref="G52:J52"/>
    <mergeCell ref="D53:I53"/>
    <mergeCell ref="D54:F54"/>
    <mergeCell ref="G54:J54"/>
    <mergeCell ref="D55:F55"/>
    <mergeCell ref="G55:J55"/>
    <mergeCell ref="D45:F45"/>
    <mergeCell ref="G33:I33"/>
    <mergeCell ref="D34:J34"/>
    <mergeCell ref="D35:J35"/>
    <mergeCell ref="D36:F36"/>
    <mergeCell ref="D37:F37"/>
    <mergeCell ref="D38:F38"/>
    <mergeCell ref="D39:F39"/>
    <mergeCell ref="D40:F40"/>
    <mergeCell ref="G41:I41"/>
    <mergeCell ref="D42:J42"/>
    <mergeCell ref="D43:I43"/>
    <mergeCell ref="G27:I27"/>
    <mergeCell ref="D28:J28"/>
    <mergeCell ref="D29:J29"/>
    <mergeCell ref="D30:F30"/>
    <mergeCell ref="D31:F31"/>
    <mergeCell ref="D32:F32"/>
    <mergeCell ref="D21:F21"/>
    <mergeCell ref="D22:F22"/>
    <mergeCell ref="D23:F23"/>
    <mergeCell ref="D24:F24"/>
    <mergeCell ref="D25:F25"/>
    <mergeCell ref="D26:F26"/>
    <mergeCell ref="D20:F20"/>
    <mergeCell ref="E9:J9"/>
    <mergeCell ref="E10:J10"/>
    <mergeCell ref="E11:J11"/>
    <mergeCell ref="E12:J12"/>
    <mergeCell ref="E13:I14"/>
    <mergeCell ref="J13:J14"/>
    <mergeCell ref="E15:I16"/>
    <mergeCell ref="J15:J16"/>
    <mergeCell ref="D17:J17"/>
    <mergeCell ref="D18:J18"/>
    <mergeCell ref="D19:F19"/>
    <mergeCell ref="D8:J8"/>
    <mergeCell ref="C2:J2"/>
    <mergeCell ref="D4:E6"/>
    <mergeCell ref="F4:H6"/>
    <mergeCell ref="I4:J6"/>
    <mergeCell ref="D7:J7"/>
  </mergeCells>
  <conditionalFormatting sqref="P27">
    <cfRule type="cellIs" dxfId="9" priority="3" operator="lessThan">
      <formula>0</formula>
    </cfRule>
  </conditionalFormatting>
  <conditionalFormatting sqref="P41">
    <cfRule type="cellIs" dxfId="8" priority="2" operator="lessThan">
      <formula>0</formula>
    </cfRule>
  </conditionalFormatting>
  <conditionalFormatting sqref="P53">
    <cfRule type="cellIs" dxfId="7" priority="1" operator="lessThan">
      <formula>0</formula>
    </cfRule>
  </conditionalFormatting>
  <pageMargins left="0.7" right="0.7" top="0.75" bottom="0.75" header="0.3" footer="0.3"/>
  <pageSetup paperSize="9" scale="6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F73D0-D226-4B9B-ADF1-59B0A77FF71F}">
  <dimension ref="C1:Q11056"/>
  <sheetViews>
    <sheetView view="pageBreakPreview" topLeftCell="B31" zoomScale="60" zoomScaleNormal="100" workbookViewId="0">
      <selection activeCell="D21" sqref="D21:F21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>
        <v>7</v>
      </c>
      <c r="E10" s="286" t="s">
        <v>120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>
        <v>7.03</v>
      </c>
      <c r="E12" s="286" t="s">
        <v>126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 t="s">
        <v>125</v>
      </c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 xml:space="preserve">SUMINISTRO E INSTALACIÓN  DE BRAZO METALICO DE 1 1/2 X 1,50 M GALVANIZADO EN CALIENTE, PARA POSTE DE ALUMBRADO PÚBLICO. INCLUYE ELEMENTOS DE ANCLAJE. </v>
      </c>
      <c r="F15" s="298"/>
      <c r="G15" s="298"/>
      <c r="H15" s="298"/>
      <c r="I15" s="299"/>
      <c r="J15" s="303" t="str">
        <f>+VLOOKUP(D16,Presupuesto!A11:D20,4,FALSE)</f>
        <v>UND</v>
      </c>
      <c r="K15" s="156"/>
    </row>
    <row r="16" spans="3:11" ht="20.100000000000001" customHeight="1" x14ac:dyDescent="0.25">
      <c r="C16" s="152"/>
      <c r="D16" s="239">
        <f>+Presupuesto!A19</f>
        <v>2.04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22.5" customHeight="1" x14ac:dyDescent="0.25">
      <c r="C20" s="166"/>
      <c r="D20" s="280" t="s">
        <v>127</v>
      </c>
      <c r="E20" s="281"/>
      <c r="F20" s="282"/>
      <c r="G20" s="167" t="s">
        <v>9</v>
      </c>
      <c r="H20" s="168">
        <v>127212.91</v>
      </c>
      <c r="I20" s="169">
        <v>1</v>
      </c>
      <c r="J20" s="257">
        <f>ROUND(H20*I20,2)</f>
        <v>127212.91</v>
      </c>
      <c r="K20" s="171"/>
    </row>
    <row r="21" spans="3:17" s="144" customFormat="1" ht="27" customHeight="1" x14ac:dyDescent="0.25">
      <c r="C21" s="166"/>
      <c r="D21" s="313" t="s">
        <v>128</v>
      </c>
      <c r="E21" s="314"/>
      <c r="F21" s="315"/>
      <c r="G21" s="172" t="s">
        <v>9</v>
      </c>
      <c r="H21" s="173">
        <v>12650</v>
      </c>
      <c r="I21" s="174">
        <v>1</v>
      </c>
      <c r="J21" s="175">
        <f>ROUND(H21*I21,2)</f>
        <v>12650</v>
      </c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 t="s">
        <v>129</v>
      </c>
      <c r="E22" s="317"/>
      <c r="F22" s="317"/>
      <c r="G22" s="172" t="s">
        <v>9</v>
      </c>
      <c r="H22" s="173">
        <v>21358.81</v>
      </c>
      <c r="I22" s="174">
        <v>1.9999995318091222</v>
      </c>
      <c r="J22" s="175">
        <f>+IF(D22="","",H22*I22)</f>
        <v>42717.61</v>
      </c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182580.52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87</v>
      </c>
      <c r="E31" s="324"/>
      <c r="F31" s="325"/>
      <c r="G31" s="241" t="s">
        <v>42</v>
      </c>
      <c r="H31" s="242">
        <v>48555</v>
      </c>
      <c r="I31" s="184">
        <v>5.0000205952013183E-2</v>
      </c>
      <c r="J31" s="170">
        <f>+IF(D31="","",H31*I31)</f>
        <v>2427.7600000000002</v>
      </c>
      <c r="K31" s="153"/>
    </row>
    <row r="32" spans="3:17" ht="18" customHeight="1" x14ac:dyDescent="0.25">
      <c r="C32" s="152"/>
      <c r="D32" s="311" t="s">
        <v>110</v>
      </c>
      <c r="E32" s="312"/>
      <c r="F32" s="312"/>
      <c r="G32" s="185" t="s">
        <v>40</v>
      </c>
      <c r="H32" s="186">
        <v>250000</v>
      </c>
      <c r="I32" s="256">
        <v>0.1</v>
      </c>
      <c r="J32" s="187">
        <f>+IF(D32="","",H32*I32)</f>
        <v>25000</v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27427.759999999998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35</v>
      </c>
      <c r="E37" s="337"/>
      <c r="F37" s="337"/>
      <c r="G37" s="197" t="s">
        <v>36</v>
      </c>
      <c r="H37" s="198">
        <v>60694.11</v>
      </c>
      <c r="I37" s="199">
        <v>0.8</v>
      </c>
      <c r="J37" s="170">
        <f>+IF(D37="","",H37*I37)</f>
        <v>48555.288</v>
      </c>
      <c r="K37" s="153"/>
      <c r="L37" s="189"/>
    </row>
    <row r="38" spans="3:16" ht="18" customHeight="1" x14ac:dyDescent="0.25">
      <c r="C38" s="152"/>
      <c r="D38" s="338"/>
      <c r="E38" s="339"/>
      <c r="F38" s="340"/>
      <c r="G38" s="197"/>
      <c r="H38" s="198" t="s">
        <v>85</v>
      </c>
      <c r="I38" s="199"/>
      <c r="J38" s="200" t="str">
        <f>(+IF(D38="","",(H38*I38)))</f>
        <v/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48555.29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258563.57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258563.57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258563.57</v>
      </c>
      <c r="K53" s="153"/>
      <c r="N53" s="206"/>
      <c r="O53" s="206">
        <f>VALOR_APU</f>
        <v>258563.57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11056" spans="8:8" x14ac:dyDescent="0.25">
      <c r="H11056" s="145">
        <v>0</v>
      </c>
    </row>
  </sheetData>
  <mergeCells count="65">
    <mergeCell ref="D61:F61"/>
    <mergeCell ref="G61:J61"/>
    <mergeCell ref="D57:F57"/>
    <mergeCell ref="G57:J57"/>
    <mergeCell ref="D58:F58"/>
    <mergeCell ref="D59:F59"/>
    <mergeCell ref="G59:J59"/>
    <mergeCell ref="D60:F60"/>
    <mergeCell ref="G60:J60"/>
    <mergeCell ref="D56:F56"/>
    <mergeCell ref="G56:J56"/>
    <mergeCell ref="D46:I46"/>
    <mergeCell ref="D48:F48"/>
    <mergeCell ref="D49:F49"/>
    <mergeCell ref="D50:F50"/>
    <mergeCell ref="D51:I51"/>
    <mergeCell ref="D52:F52"/>
    <mergeCell ref="G52:J52"/>
    <mergeCell ref="D53:I53"/>
    <mergeCell ref="D54:F54"/>
    <mergeCell ref="G54:J54"/>
    <mergeCell ref="D55:F55"/>
    <mergeCell ref="G55:J55"/>
    <mergeCell ref="D45:F45"/>
    <mergeCell ref="G33:I33"/>
    <mergeCell ref="D34:J34"/>
    <mergeCell ref="D35:J35"/>
    <mergeCell ref="D36:F36"/>
    <mergeCell ref="D37:F37"/>
    <mergeCell ref="D38:F38"/>
    <mergeCell ref="D39:F39"/>
    <mergeCell ref="D40:F40"/>
    <mergeCell ref="G41:I41"/>
    <mergeCell ref="D42:J42"/>
    <mergeCell ref="D43:I43"/>
    <mergeCell ref="G27:I27"/>
    <mergeCell ref="D28:J28"/>
    <mergeCell ref="D29:J29"/>
    <mergeCell ref="D30:F30"/>
    <mergeCell ref="D31:F31"/>
    <mergeCell ref="D32:F32"/>
    <mergeCell ref="D21:F21"/>
    <mergeCell ref="D22:F22"/>
    <mergeCell ref="D23:F23"/>
    <mergeCell ref="D24:F24"/>
    <mergeCell ref="D25:F25"/>
    <mergeCell ref="D26:F26"/>
    <mergeCell ref="D20:F20"/>
    <mergeCell ref="E9:J9"/>
    <mergeCell ref="E10:J10"/>
    <mergeCell ref="E11:J11"/>
    <mergeCell ref="E12:J12"/>
    <mergeCell ref="E13:I14"/>
    <mergeCell ref="J13:J14"/>
    <mergeCell ref="E15:I16"/>
    <mergeCell ref="J15:J16"/>
    <mergeCell ref="D17:J17"/>
    <mergeCell ref="D18:J18"/>
    <mergeCell ref="D19:F19"/>
    <mergeCell ref="D8:J8"/>
    <mergeCell ref="C2:J2"/>
    <mergeCell ref="D4:E6"/>
    <mergeCell ref="F4:H6"/>
    <mergeCell ref="I4:J6"/>
    <mergeCell ref="D7:J7"/>
  </mergeCells>
  <conditionalFormatting sqref="P27">
    <cfRule type="cellIs" dxfId="6" priority="3" operator="lessThan">
      <formula>0</formula>
    </cfRule>
  </conditionalFormatting>
  <conditionalFormatting sqref="P41">
    <cfRule type="cellIs" dxfId="5" priority="2" operator="lessThan">
      <formula>0</formula>
    </cfRule>
  </conditionalFormatting>
  <conditionalFormatting sqref="P53">
    <cfRule type="cellIs" dxfId="4" priority="1" operator="lessThan">
      <formula>0</formula>
    </cfRule>
  </conditionalFormatting>
  <pageMargins left="0.7" right="0.7" top="0.75" bottom="0.75" header="0.3" footer="0.3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C2A86-6E13-44FC-BA7C-455A56143AA1}">
  <dimension ref="C1:Q11056"/>
  <sheetViews>
    <sheetView view="pageBreakPreview" topLeftCell="G15" zoomScaleNormal="100" zoomScaleSheetLayoutView="100" workbookViewId="0">
      <selection activeCell="H20" sqref="H20"/>
    </sheetView>
  </sheetViews>
  <sheetFormatPr baseColWidth="10" defaultColWidth="11.42578125" defaultRowHeight="15.75" x14ac:dyDescent="0.25"/>
  <cols>
    <col min="1" max="1" width="3.5703125" style="143" customWidth="1"/>
    <col min="2" max="2" width="1.5703125" style="143" customWidth="1"/>
    <col min="3" max="3" width="1.42578125" style="143" customWidth="1"/>
    <col min="4" max="4" width="27.5703125" style="143" customWidth="1"/>
    <col min="5" max="5" width="15.5703125" style="143" customWidth="1"/>
    <col min="6" max="6" width="20.5703125" style="143" customWidth="1"/>
    <col min="7" max="7" width="15.5703125" style="144" customWidth="1"/>
    <col min="8" max="8" width="15.5703125" style="145" customWidth="1"/>
    <col min="9" max="10" width="15.5703125" style="143" customWidth="1"/>
    <col min="11" max="11" width="1.42578125" style="143" customWidth="1"/>
    <col min="12" max="12" width="1.5703125" style="143" customWidth="1"/>
    <col min="13" max="13" width="3.5703125" style="143" customWidth="1"/>
    <col min="14" max="16" width="15.5703125" style="143" customWidth="1"/>
    <col min="17" max="17" width="14.42578125" style="143" bestFit="1" customWidth="1"/>
    <col min="18" max="18" width="15.85546875" style="143" customWidth="1"/>
    <col min="19" max="20" width="15.5703125" style="143" customWidth="1"/>
    <col min="21" max="16384" width="11.42578125" style="143"/>
  </cols>
  <sheetData>
    <row r="1" spans="3:11" ht="7.5" customHeight="1" x14ac:dyDescent="0.25"/>
    <row r="2" spans="3:11" ht="9.9499999999999993" customHeight="1" x14ac:dyDescent="0.25">
      <c r="C2" s="263"/>
      <c r="D2" s="263"/>
      <c r="E2" s="263"/>
      <c r="F2" s="263"/>
      <c r="G2" s="263"/>
      <c r="H2" s="263"/>
      <c r="I2" s="263"/>
      <c r="J2" s="263"/>
    </row>
    <row r="3" spans="3:11" ht="5.0999999999999996" customHeight="1" x14ac:dyDescent="0.25">
      <c r="C3" s="147"/>
      <c r="D3" s="148"/>
      <c r="E3" s="148"/>
      <c r="F3" s="148"/>
      <c r="G3" s="149"/>
      <c r="H3" s="150"/>
      <c r="I3" s="148"/>
      <c r="J3" s="148"/>
      <c r="K3" s="151"/>
    </row>
    <row r="4" spans="3:11" ht="30" customHeight="1" x14ac:dyDescent="0.25">
      <c r="C4" s="152"/>
      <c r="D4" s="264"/>
      <c r="E4" s="264"/>
      <c r="F4" s="265" t="s">
        <v>102</v>
      </c>
      <c r="G4" s="266"/>
      <c r="H4" s="267"/>
      <c r="I4" s="274"/>
      <c r="J4" s="275"/>
      <c r="K4" s="153"/>
    </row>
    <row r="5" spans="3:11" ht="30" customHeight="1" x14ac:dyDescent="0.25">
      <c r="C5" s="152"/>
      <c r="D5" s="264"/>
      <c r="E5" s="264"/>
      <c r="F5" s="268"/>
      <c r="G5" s="269"/>
      <c r="H5" s="270"/>
      <c r="I5" s="276"/>
      <c r="J5" s="277"/>
      <c r="K5" s="153"/>
    </row>
    <row r="6" spans="3:11" ht="30" customHeight="1" x14ac:dyDescent="0.25">
      <c r="C6" s="152"/>
      <c r="D6" s="264"/>
      <c r="E6" s="264"/>
      <c r="F6" s="271"/>
      <c r="G6" s="272"/>
      <c r="H6" s="273"/>
      <c r="I6" s="278"/>
      <c r="J6" s="279"/>
      <c r="K6" s="153"/>
    </row>
    <row r="7" spans="3:11" ht="35.1" customHeight="1" x14ac:dyDescent="0.25">
      <c r="C7" s="152"/>
      <c r="D7" s="260" t="s">
        <v>103</v>
      </c>
      <c r="E7" s="261"/>
      <c r="F7" s="261"/>
      <c r="G7" s="261"/>
      <c r="H7" s="261"/>
      <c r="I7" s="261"/>
      <c r="J7" s="262"/>
      <c r="K7" s="153"/>
    </row>
    <row r="8" spans="3:11" ht="16.5" x14ac:dyDescent="0.25">
      <c r="C8" s="152"/>
      <c r="D8" s="260" t="s">
        <v>69</v>
      </c>
      <c r="E8" s="261"/>
      <c r="F8" s="261"/>
      <c r="G8" s="261"/>
      <c r="H8" s="261"/>
      <c r="I8" s="261"/>
      <c r="J8" s="262"/>
      <c r="K8" s="153"/>
    </row>
    <row r="9" spans="3:11" s="146" customFormat="1" ht="20.100000000000001" customHeight="1" x14ac:dyDescent="0.25">
      <c r="C9" s="154"/>
      <c r="D9" s="155" t="s">
        <v>70</v>
      </c>
      <c r="E9" s="283" t="s">
        <v>71</v>
      </c>
      <c r="F9" s="284"/>
      <c r="G9" s="284"/>
      <c r="H9" s="284"/>
      <c r="I9" s="284"/>
      <c r="J9" s="285"/>
      <c r="K9" s="156"/>
    </row>
    <row r="10" spans="3:11" ht="20.100000000000001" customHeight="1" x14ac:dyDescent="0.25">
      <c r="C10" s="152"/>
      <c r="D10" s="157">
        <v>7</v>
      </c>
      <c r="E10" s="286" t="s">
        <v>120</v>
      </c>
      <c r="F10" s="287"/>
      <c r="G10" s="287"/>
      <c r="H10" s="287"/>
      <c r="I10" s="287"/>
      <c r="J10" s="288"/>
      <c r="K10" s="153"/>
    </row>
    <row r="11" spans="3:11" s="146" customFormat="1" ht="20.100000000000001" customHeight="1" x14ac:dyDescent="0.25">
      <c r="C11" s="154"/>
      <c r="D11" s="155" t="s">
        <v>72</v>
      </c>
      <c r="E11" s="283" t="s">
        <v>73</v>
      </c>
      <c r="F11" s="284"/>
      <c r="G11" s="284"/>
      <c r="H11" s="284"/>
      <c r="I11" s="284"/>
      <c r="J11" s="285"/>
      <c r="K11" s="156"/>
    </row>
    <row r="12" spans="3:11" ht="20.100000000000001" customHeight="1" x14ac:dyDescent="0.25">
      <c r="C12" s="152"/>
      <c r="D12" s="157">
        <v>7.03</v>
      </c>
      <c r="E12" s="286" t="s">
        <v>126</v>
      </c>
      <c r="F12" s="287"/>
      <c r="G12" s="287"/>
      <c r="H12" s="287"/>
      <c r="I12" s="287"/>
      <c r="J12" s="288"/>
      <c r="K12" s="153"/>
    </row>
    <row r="13" spans="3:11" s="146" customFormat="1" ht="20.100000000000001" customHeight="1" x14ac:dyDescent="0.25">
      <c r="C13" s="154"/>
      <c r="D13" s="158" t="s">
        <v>74</v>
      </c>
      <c r="E13" s="289" t="s">
        <v>75</v>
      </c>
      <c r="F13" s="290"/>
      <c r="G13" s="290"/>
      <c r="H13" s="290"/>
      <c r="I13" s="291"/>
      <c r="J13" s="295" t="s">
        <v>76</v>
      </c>
      <c r="K13" s="156"/>
    </row>
    <row r="14" spans="3:11" ht="20.100000000000001" customHeight="1" x14ac:dyDescent="0.25">
      <c r="C14" s="152"/>
      <c r="D14" s="159" t="s">
        <v>125</v>
      </c>
      <c r="E14" s="292"/>
      <c r="F14" s="293"/>
      <c r="G14" s="293"/>
      <c r="H14" s="293"/>
      <c r="I14" s="294"/>
      <c r="J14" s="296"/>
      <c r="K14" s="153"/>
    </row>
    <row r="15" spans="3:11" s="146" customFormat="1" ht="20.100000000000001" customHeight="1" x14ac:dyDescent="0.25">
      <c r="C15" s="154"/>
      <c r="D15" s="158" t="s">
        <v>77</v>
      </c>
      <c r="E15" s="297" t="str">
        <f>+VLOOKUP(D16,Presupuesto!A11:D20,3,FALSE)</f>
        <v xml:space="preserve">SUMINISTRO, TENDIDO Y TENSIONADO DE CABLE TRIPLEX XLPE-SR No 2 AWG </v>
      </c>
      <c r="F15" s="298"/>
      <c r="G15" s="298"/>
      <c r="H15" s="298"/>
      <c r="I15" s="299"/>
      <c r="J15" s="303" t="str">
        <f>+VLOOKUP(D16,Presupuesto!A11:D20,4,FALSE)</f>
        <v>KM</v>
      </c>
      <c r="K15" s="156"/>
    </row>
    <row r="16" spans="3:11" ht="20.100000000000001" customHeight="1" x14ac:dyDescent="0.25">
      <c r="C16" s="152"/>
      <c r="D16" s="239">
        <f>+Presupuesto!A20</f>
        <v>2.0499999999999998</v>
      </c>
      <c r="E16" s="300"/>
      <c r="F16" s="301"/>
      <c r="G16" s="301"/>
      <c r="H16" s="301"/>
      <c r="I16" s="302"/>
      <c r="J16" s="304"/>
      <c r="K16" s="153"/>
    </row>
    <row r="17" spans="3:17" ht="5.0999999999999996" customHeight="1" x14ac:dyDescent="0.25">
      <c r="C17" s="152"/>
      <c r="D17" s="305"/>
      <c r="E17" s="305"/>
      <c r="F17" s="305"/>
      <c r="G17" s="305"/>
      <c r="H17" s="305"/>
      <c r="I17" s="305"/>
      <c r="J17" s="305"/>
      <c r="K17" s="153"/>
    </row>
    <row r="18" spans="3:17" ht="20.100000000000001" customHeight="1" x14ac:dyDescent="0.25">
      <c r="C18" s="152"/>
      <c r="D18" s="306" t="s">
        <v>79</v>
      </c>
      <c r="E18" s="307"/>
      <c r="F18" s="307"/>
      <c r="G18" s="307"/>
      <c r="H18" s="307"/>
      <c r="I18" s="307"/>
      <c r="J18" s="308"/>
      <c r="K18" s="153"/>
    </row>
    <row r="19" spans="3:17" s="165" customFormat="1" ht="20.100000000000001" customHeight="1" x14ac:dyDescent="0.25">
      <c r="C19" s="160"/>
      <c r="D19" s="309" t="s">
        <v>80</v>
      </c>
      <c r="E19" s="310"/>
      <c r="F19" s="310"/>
      <c r="G19" s="161" t="s">
        <v>76</v>
      </c>
      <c r="H19" s="161" t="s">
        <v>81</v>
      </c>
      <c r="I19" s="162" t="s">
        <v>82</v>
      </c>
      <c r="J19" s="163" t="s">
        <v>83</v>
      </c>
      <c r="K19" s="164"/>
    </row>
    <row r="20" spans="3:17" s="144" customFormat="1" ht="22.5" customHeight="1" x14ac:dyDescent="0.25">
      <c r="C20" s="166"/>
      <c r="D20" s="280" t="s">
        <v>134</v>
      </c>
      <c r="E20" s="281"/>
      <c r="F20" s="282"/>
      <c r="G20" s="167" t="s">
        <v>17</v>
      </c>
      <c r="H20" s="168">
        <v>11000</v>
      </c>
      <c r="I20" s="169">
        <v>1050</v>
      </c>
      <c r="J20" s="170">
        <f>ROUND(H20*I20,2)</f>
        <v>11550000</v>
      </c>
      <c r="K20" s="171"/>
    </row>
    <row r="21" spans="3:17" s="144" customFormat="1" ht="18" customHeight="1" x14ac:dyDescent="0.25">
      <c r="C21" s="166"/>
      <c r="D21" s="313"/>
      <c r="E21" s="314"/>
      <c r="F21" s="315"/>
      <c r="G21" s="172"/>
      <c r="H21" s="173"/>
      <c r="I21" s="174"/>
      <c r="J21" s="258"/>
      <c r="K21" s="171"/>
      <c r="N21" s="144">
        <v>67</v>
      </c>
      <c r="O21" s="144" t="s">
        <v>78</v>
      </c>
      <c r="P21" s="144">
        <v>1</v>
      </c>
      <c r="Q21" s="144" t="s">
        <v>84</v>
      </c>
    </row>
    <row r="22" spans="3:17" s="144" customFormat="1" ht="18" customHeight="1" x14ac:dyDescent="0.25">
      <c r="C22" s="166"/>
      <c r="D22" s="316"/>
      <c r="E22" s="317"/>
      <c r="F22" s="317"/>
      <c r="G22" s="172"/>
      <c r="H22" s="173"/>
      <c r="I22" s="174"/>
      <c r="J22" s="175"/>
      <c r="K22" s="171"/>
      <c r="N22" s="144">
        <v>1</v>
      </c>
      <c r="P22" s="144">
        <f>+N22/N21</f>
        <v>1.4925373134328358E-2</v>
      </c>
    </row>
    <row r="23" spans="3:17" s="144" customFormat="1" ht="18" customHeight="1" x14ac:dyDescent="0.25">
      <c r="C23" s="166"/>
      <c r="D23" s="316"/>
      <c r="E23" s="317"/>
      <c r="F23" s="317"/>
      <c r="G23" s="172"/>
      <c r="H23" s="173"/>
      <c r="I23" s="174"/>
      <c r="J23" s="175" t="str">
        <f>+IF(D23="","",H23*I23)</f>
        <v/>
      </c>
      <c r="K23" s="171"/>
    </row>
    <row r="24" spans="3:17" s="144" customFormat="1" ht="18" customHeight="1" x14ac:dyDescent="0.25">
      <c r="C24" s="166"/>
      <c r="D24" s="316"/>
      <c r="E24" s="317"/>
      <c r="F24" s="317"/>
      <c r="G24" s="172"/>
      <c r="H24" s="173"/>
      <c r="I24" s="174"/>
      <c r="J24" s="175"/>
      <c r="K24" s="171"/>
    </row>
    <row r="25" spans="3:17" s="144" customFormat="1" ht="18" customHeight="1" x14ac:dyDescent="0.25">
      <c r="C25" s="166"/>
      <c r="D25" s="316"/>
      <c r="E25" s="317"/>
      <c r="F25" s="317"/>
      <c r="G25" s="172"/>
      <c r="H25" s="173"/>
      <c r="I25" s="174"/>
      <c r="J25" s="175"/>
      <c r="K25" s="171"/>
    </row>
    <row r="26" spans="3:17" s="144" customFormat="1" ht="18" customHeight="1" x14ac:dyDescent="0.25">
      <c r="C26" s="166"/>
      <c r="D26" s="318"/>
      <c r="E26" s="319"/>
      <c r="F26" s="319"/>
      <c r="G26" s="176" t="s">
        <v>85</v>
      </c>
      <c r="H26" s="177" t="s">
        <v>85</v>
      </c>
      <c r="I26" s="178"/>
      <c r="J26" s="179" t="str">
        <f>+IF(D26="","",H26*I26)</f>
        <v/>
      </c>
      <c r="K26" s="171"/>
    </row>
    <row r="27" spans="3:17" s="144" customFormat="1" ht="18" customHeight="1" x14ac:dyDescent="0.25">
      <c r="C27" s="166"/>
      <c r="G27" s="320" t="s">
        <v>33</v>
      </c>
      <c r="H27" s="320"/>
      <c r="I27" s="321"/>
      <c r="J27" s="180">
        <f>+ROUND(SUM(J20:J26),2)</f>
        <v>11550000</v>
      </c>
      <c r="K27" s="171"/>
      <c r="N27" s="181"/>
      <c r="O27" s="181"/>
      <c r="P27" s="182"/>
    </row>
    <row r="28" spans="3:17" ht="5.0999999999999996" customHeight="1" x14ac:dyDescent="0.25">
      <c r="C28" s="152"/>
      <c r="D28" s="305"/>
      <c r="E28" s="305"/>
      <c r="F28" s="305"/>
      <c r="G28" s="305"/>
      <c r="H28" s="305"/>
      <c r="I28" s="305"/>
      <c r="J28" s="305"/>
      <c r="K28" s="153"/>
    </row>
    <row r="29" spans="3:17" ht="20.100000000000001" customHeight="1" x14ac:dyDescent="0.25">
      <c r="C29" s="152"/>
      <c r="D29" s="306" t="s">
        <v>86</v>
      </c>
      <c r="E29" s="307"/>
      <c r="F29" s="307"/>
      <c r="G29" s="307"/>
      <c r="H29" s="307"/>
      <c r="I29" s="307"/>
      <c r="J29" s="308"/>
      <c r="K29" s="153"/>
    </row>
    <row r="30" spans="3:17" s="165" customFormat="1" ht="20.100000000000001" customHeight="1" x14ac:dyDescent="0.25">
      <c r="C30" s="160"/>
      <c r="D30" s="322" t="s">
        <v>80</v>
      </c>
      <c r="E30" s="322"/>
      <c r="F30" s="322"/>
      <c r="G30" s="183" t="s">
        <v>76</v>
      </c>
      <c r="H30" s="183" t="s">
        <v>81</v>
      </c>
      <c r="I30" s="183" t="s">
        <v>82</v>
      </c>
      <c r="J30" s="183" t="s">
        <v>83</v>
      </c>
      <c r="K30" s="164"/>
    </row>
    <row r="31" spans="3:17" ht="18" customHeight="1" x14ac:dyDescent="0.25">
      <c r="C31" s="152"/>
      <c r="D31" s="323" t="s">
        <v>87</v>
      </c>
      <c r="E31" s="324"/>
      <c r="F31" s="325"/>
      <c r="G31" s="241" t="s">
        <v>42</v>
      </c>
      <c r="H31" s="242">
        <f>+J37</f>
        <v>2002905.6300000001</v>
      </c>
      <c r="I31" s="184">
        <v>5.0000001647606269E-2</v>
      </c>
      <c r="J31" s="170">
        <f>+IF(D31="","",H31*I31)</f>
        <v>100145.28479999988</v>
      </c>
      <c r="K31" s="153"/>
    </row>
    <row r="32" spans="3:17" ht="18" customHeight="1" x14ac:dyDescent="0.25">
      <c r="C32" s="152"/>
      <c r="D32" s="311"/>
      <c r="E32" s="312"/>
      <c r="F32" s="312"/>
      <c r="G32" s="185"/>
      <c r="H32" s="186"/>
      <c r="I32" s="256"/>
      <c r="J32" s="187" t="str">
        <f>+IF(D32="","",H32*I32)</f>
        <v/>
      </c>
      <c r="K32" s="153"/>
    </row>
    <row r="33" spans="3:16" ht="18" customHeight="1" x14ac:dyDescent="0.25">
      <c r="C33" s="152"/>
      <c r="G33" s="329" t="s">
        <v>88</v>
      </c>
      <c r="H33" s="329"/>
      <c r="I33" s="330"/>
      <c r="J33" s="188">
        <f>ROUND(+SUM(J31:J32),2)</f>
        <v>100145.28</v>
      </c>
      <c r="K33" s="153"/>
    </row>
    <row r="34" spans="3:16" ht="5.0999999999999996" customHeight="1" x14ac:dyDescent="0.25">
      <c r="C34" s="152"/>
      <c r="D34" s="263"/>
      <c r="E34" s="263"/>
      <c r="F34" s="263"/>
      <c r="G34" s="263"/>
      <c r="H34" s="263"/>
      <c r="I34" s="263"/>
      <c r="J34" s="263"/>
      <c r="K34" s="153"/>
    </row>
    <row r="35" spans="3:16" ht="20.100000000000001" customHeight="1" x14ac:dyDescent="0.25">
      <c r="C35" s="152"/>
      <c r="D35" s="331" t="s">
        <v>89</v>
      </c>
      <c r="E35" s="332"/>
      <c r="F35" s="332"/>
      <c r="G35" s="332"/>
      <c r="H35" s="332"/>
      <c r="I35" s="332"/>
      <c r="J35" s="333"/>
      <c r="K35" s="153"/>
      <c r="L35" s="189"/>
    </row>
    <row r="36" spans="3:16" s="196" customFormat="1" ht="20.100000000000001" customHeight="1" x14ac:dyDescent="0.25">
      <c r="C36" s="190"/>
      <c r="D36" s="334" t="s">
        <v>80</v>
      </c>
      <c r="E36" s="335"/>
      <c r="F36" s="335"/>
      <c r="G36" s="191" t="s">
        <v>76</v>
      </c>
      <c r="H36" s="192" t="s">
        <v>81</v>
      </c>
      <c r="I36" s="191" t="s">
        <v>82</v>
      </c>
      <c r="J36" s="193" t="s">
        <v>83</v>
      </c>
      <c r="K36" s="194"/>
      <c r="L36" s="195"/>
    </row>
    <row r="37" spans="3:16" ht="18" customHeight="1" x14ac:dyDescent="0.25">
      <c r="C37" s="152"/>
      <c r="D37" s="336" t="s">
        <v>35</v>
      </c>
      <c r="E37" s="337"/>
      <c r="F37" s="337"/>
      <c r="G37" s="197" t="s">
        <v>36</v>
      </c>
      <c r="H37" s="198">
        <v>60694.11</v>
      </c>
      <c r="I37" s="199">
        <v>33</v>
      </c>
      <c r="J37" s="170">
        <f>+IF(D37="","",H37*I37)</f>
        <v>2002905.6300000001</v>
      </c>
      <c r="K37" s="153"/>
      <c r="L37" s="189"/>
    </row>
    <row r="38" spans="3:16" ht="18" customHeight="1" x14ac:dyDescent="0.25">
      <c r="C38" s="152"/>
      <c r="D38" s="338"/>
      <c r="E38" s="339"/>
      <c r="F38" s="340"/>
      <c r="G38" s="197"/>
      <c r="H38" s="198" t="s">
        <v>85</v>
      </c>
      <c r="I38" s="199"/>
      <c r="J38" s="200" t="str">
        <f>(+IF(D38="","",(H38*I38)))</f>
        <v/>
      </c>
      <c r="K38" s="153"/>
      <c r="L38" s="189"/>
    </row>
    <row r="39" spans="3:16" ht="18" customHeight="1" x14ac:dyDescent="0.25">
      <c r="C39" s="152"/>
      <c r="D39" s="338"/>
      <c r="E39" s="339"/>
      <c r="F39" s="340"/>
      <c r="G39" s="197"/>
      <c r="H39" s="198"/>
      <c r="I39" s="199"/>
      <c r="J39" s="200" t="str">
        <f>(+IF(D39="","",(H39*I39)))</f>
        <v/>
      </c>
      <c r="K39" s="153"/>
      <c r="L39" s="189"/>
    </row>
    <row r="40" spans="3:16" ht="18" customHeight="1" x14ac:dyDescent="0.25">
      <c r="C40" s="152"/>
      <c r="D40" s="341"/>
      <c r="E40" s="342"/>
      <c r="F40" s="343"/>
      <c r="G40" s="201"/>
      <c r="H40" s="202"/>
      <c r="I40" s="203"/>
      <c r="J40" s="204"/>
      <c r="K40" s="153"/>
      <c r="L40" s="189"/>
    </row>
    <row r="41" spans="3:16" ht="18" customHeight="1" x14ac:dyDescent="0.25">
      <c r="C41" s="152"/>
      <c r="G41" s="344" t="s">
        <v>90</v>
      </c>
      <c r="H41" s="344"/>
      <c r="I41" s="345"/>
      <c r="J41" s="205">
        <f>+ROUND(SUM(J37:J40),2)</f>
        <v>2002905.63</v>
      </c>
      <c r="K41" s="153"/>
      <c r="L41" s="189"/>
      <c r="N41" s="206"/>
      <c r="O41" s="206"/>
      <c r="P41" s="207"/>
    </row>
    <row r="42" spans="3:16" ht="5.0999999999999996" customHeight="1" x14ac:dyDescent="0.25">
      <c r="C42" s="152"/>
      <c r="D42" s="263"/>
      <c r="E42" s="263"/>
      <c r="F42" s="263"/>
      <c r="G42" s="263"/>
      <c r="H42" s="263"/>
      <c r="I42" s="263"/>
      <c r="J42" s="263"/>
      <c r="K42" s="153"/>
    </row>
    <row r="43" spans="3:16" ht="20.100000000000001" customHeight="1" x14ac:dyDescent="0.25">
      <c r="C43" s="152"/>
      <c r="D43" s="346" t="s">
        <v>46</v>
      </c>
      <c r="E43" s="347"/>
      <c r="F43" s="347"/>
      <c r="G43" s="347"/>
      <c r="H43" s="347"/>
      <c r="I43" s="348"/>
      <c r="J43" s="208">
        <f>ROUND((SUM(+J27+J33+J41)),2)</f>
        <v>13653050.91</v>
      </c>
      <c r="K43" s="153"/>
      <c r="O43" s="209"/>
    </row>
    <row r="44" spans="3:16" ht="5.0999999999999996" customHeight="1" x14ac:dyDescent="0.25">
      <c r="C44" s="152"/>
      <c r="H44" s="210"/>
      <c r="K44" s="153"/>
      <c r="O44" s="209"/>
    </row>
    <row r="45" spans="3:16" s="217" customFormat="1" ht="20.100000000000001" customHeight="1" x14ac:dyDescent="0.25">
      <c r="C45" s="211"/>
      <c r="D45" s="326" t="s">
        <v>91</v>
      </c>
      <c r="E45" s="327"/>
      <c r="F45" s="328"/>
      <c r="G45" s="212"/>
      <c r="H45" s="213"/>
      <c r="I45" s="214">
        <v>0</v>
      </c>
      <c r="J45" s="215">
        <f>+J43*I45</f>
        <v>0</v>
      </c>
      <c r="K45" s="216"/>
      <c r="O45" s="218"/>
    </row>
    <row r="46" spans="3:16" ht="20.100000000000001" customHeight="1" x14ac:dyDescent="0.25">
      <c r="C46" s="152"/>
      <c r="D46" s="346" t="s">
        <v>92</v>
      </c>
      <c r="E46" s="347"/>
      <c r="F46" s="347"/>
      <c r="G46" s="347"/>
      <c r="H46" s="347"/>
      <c r="I46" s="348"/>
      <c r="J46" s="208">
        <f>+J45+J43</f>
        <v>13653050.91</v>
      </c>
      <c r="K46" s="153"/>
      <c r="N46" s="206"/>
      <c r="O46" s="206"/>
      <c r="P46" s="207"/>
    </row>
    <row r="47" spans="3:16" ht="5.0999999999999996" customHeight="1" x14ac:dyDescent="0.25">
      <c r="C47" s="152"/>
      <c r="H47" s="210"/>
      <c r="K47" s="153"/>
      <c r="O47" s="209"/>
    </row>
    <row r="48" spans="3:16" s="217" customFormat="1" ht="20.100000000000001" customHeight="1" x14ac:dyDescent="0.25">
      <c r="C48" s="211"/>
      <c r="D48" s="355" t="s">
        <v>10</v>
      </c>
      <c r="E48" s="356"/>
      <c r="F48" s="356"/>
      <c r="G48" s="219"/>
      <c r="H48" s="220"/>
      <c r="I48" s="221">
        <v>0</v>
      </c>
      <c r="J48" s="222">
        <f>+J43*I48</f>
        <v>0</v>
      </c>
      <c r="K48" s="216"/>
      <c r="O48" s="218"/>
    </row>
    <row r="49" spans="3:16" s="217" customFormat="1" ht="20.100000000000001" customHeight="1" x14ac:dyDescent="0.25">
      <c r="C49" s="211"/>
      <c r="D49" s="357" t="s">
        <v>11</v>
      </c>
      <c r="E49" s="358"/>
      <c r="F49" s="358"/>
      <c r="G49" s="219"/>
      <c r="H49" s="220"/>
      <c r="I49" s="223">
        <v>0</v>
      </c>
      <c r="J49" s="224">
        <f>+J43*I49</f>
        <v>0</v>
      </c>
      <c r="K49" s="216"/>
      <c r="O49" s="218"/>
    </row>
    <row r="50" spans="3:16" s="217" customFormat="1" ht="20.100000000000001" customHeight="1" x14ac:dyDescent="0.25">
      <c r="C50" s="211"/>
      <c r="D50" s="357" t="s">
        <v>13</v>
      </c>
      <c r="E50" s="358"/>
      <c r="F50" s="358"/>
      <c r="G50" s="225"/>
      <c r="H50" s="226"/>
      <c r="I50" s="223">
        <v>0</v>
      </c>
      <c r="J50" s="224">
        <f>+J43*I50</f>
        <v>0</v>
      </c>
      <c r="K50" s="216"/>
      <c r="O50" s="218"/>
    </row>
    <row r="51" spans="3:16" ht="20.100000000000001" customHeight="1" x14ac:dyDescent="0.25">
      <c r="C51" s="152"/>
      <c r="D51" s="359" t="s">
        <v>93</v>
      </c>
      <c r="E51" s="360"/>
      <c r="F51" s="360"/>
      <c r="G51" s="360"/>
      <c r="H51" s="360"/>
      <c r="I51" s="360"/>
      <c r="J51" s="227">
        <f>SUM(J48:J50)</f>
        <v>0</v>
      </c>
      <c r="K51" s="153"/>
      <c r="O51" s="209"/>
    </row>
    <row r="52" spans="3:16" ht="5.0999999999999996" customHeight="1" x14ac:dyDescent="0.25">
      <c r="C52" s="152"/>
      <c r="D52" s="361"/>
      <c r="E52" s="361"/>
      <c r="F52" s="361"/>
      <c r="G52" s="361"/>
      <c r="H52" s="361"/>
      <c r="I52" s="361"/>
      <c r="J52" s="361"/>
      <c r="K52" s="153"/>
      <c r="O52" s="209"/>
    </row>
    <row r="53" spans="3:16" ht="20.100000000000001" customHeight="1" x14ac:dyDescent="0.25">
      <c r="C53" s="152"/>
      <c r="D53" s="362" t="s">
        <v>51</v>
      </c>
      <c r="E53" s="363"/>
      <c r="F53" s="363"/>
      <c r="G53" s="363"/>
      <c r="H53" s="363"/>
      <c r="I53" s="364"/>
      <c r="J53" s="228">
        <f>SUM(J46+J51)</f>
        <v>13653050.91</v>
      </c>
      <c r="K53" s="153"/>
      <c r="N53" s="206"/>
      <c r="O53" s="206">
        <f>VALOR_APU</f>
        <v>13653050.91</v>
      </c>
      <c r="P53" s="207"/>
    </row>
    <row r="54" spans="3:16" ht="5.0999999999999996" customHeight="1" x14ac:dyDescent="0.25">
      <c r="C54" s="152"/>
      <c r="D54" s="361"/>
      <c r="E54" s="361"/>
      <c r="F54" s="361"/>
      <c r="G54" s="361"/>
      <c r="H54" s="361"/>
      <c r="I54" s="361"/>
      <c r="J54" s="361"/>
      <c r="K54" s="153"/>
    </row>
    <row r="55" spans="3:16" x14ac:dyDescent="0.25">
      <c r="C55" s="152"/>
      <c r="D55" s="365" t="s">
        <v>94</v>
      </c>
      <c r="E55" s="366"/>
      <c r="F55" s="367"/>
      <c r="G55" s="368"/>
      <c r="H55" s="369"/>
      <c r="I55" s="369"/>
      <c r="J55" s="370"/>
      <c r="K55" s="153"/>
    </row>
    <row r="56" spans="3:16" ht="14.1" customHeight="1" x14ac:dyDescent="0.25">
      <c r="C56" s="152"/>
      <c r="D56" s="349"/>
      <c r="E56" s="350"/>
      <c r="F56" s="351"/>
      <c r="G56" s="352"/>
      <c r="H56" s="353"/>
      <c r="I56" s="353"/>
      <c r="J56" s="354"/>
      <c r="K56" s="153"/>
    </row>
    <row r="57" spans="3:16" ht="14.1" customHeight="1" x14ac:dyDescent="0.25">
      <c r="C57" s="152"/>
      <c r="D57" s="349"/>
      <c r="E57" s="350"/>
      <c r="F57" s="351"/>
      <c r="G57" s="352" t="s">
        <v>95</v>
      </c>
      <c r="H57" s="353"/>
      <c r="I57" s="353"/>
      <c r="J57" s="354"/>
      <c r="K57" s="153"/>
    </row>
    <row r="58" spans="3:16" ht="14.1" customHeight="1" x14ac:dyDescent="0.25">
      <c r="C58" s="152"/>
      <c r="D58" s="349"/>
      <c r="E58" s="350"/>
      <c r="F58" s="351"/>
      <c r="G58" s="229" t="s">
        <v>96</v>
      </c>
      <c r="H58" s="212"/>
      <c r="I58" s="212"/>
      <c r="J58" s="230"/>
      <c r="K58" s="153"/>
    </row>
    <row r="59" spans="3:16" ht="14.1" customHeight="1" x14ac:dyDescent="0.25">
      <c r="C59" s="152"/>
      <c r="D59" s="349"/>
      <c r="E59" s="350"/>
      <c r="F59" s="351"/>
      <c r="G59" s="352" t="s">
        <v>97</v>
      </c>
      <c r="H59" s="361"/>
      <c r="I59" s="361"/>
      <c r="J59" s="377"/>
      <c r="K59" s="153"/>
    </row>
    <row r="60" spans="3:16" ht="14.1" customHeight="1" x14ac:dyDescent="0.25">
      <c r="C60" s="152"/>
      <c r="D60" s="378"/>
      <c r="E60" s="379"/>
      <c r="F60" s="380"/>
      <c r="G60" s="352" t="s">
        <v>95</v>
      </c>
      <c r="H60" s="361"/>
      <c r="I60" s="361"/>
      <c r="J60" s="377"/>
      <c r="K60" s="153"/>
    </row>
    <row r="61" spans="3:16" ht="14.1" customHeight="1" x14ac:dyDescent="0.25">
      <c r="C61" s="152"/>
      <c r="D61" s="371"/>
      <c r="E61" s="372"/>
      <c r="F61" s="373"/>
      <c r="G61" s="374"/>
      <c r="H61" s="375"/>
      <c r="I61" s="375"/>
      <c r="J61" s="376"/>
      <c r="K61" s="153"/>
    </row>
    <row r="62" spans="3:16" ht="5.0999999999999996" customHeight="1" x14ac:dyDescent="0.25">
      <c r="C62" s="231"/>
      <c r="D62" s="232"/>
      <c r="E62" s="232"/>
      <c r="F62" s="232"/>
      <c r="G62" s="233"/>
      <c r="H62" s="234"/>
      <c r="I62" s="232"/>
      <c r="J62" s="232"/>
      <c r="K62" s="235"/>
    </row>
    <row r="63" spans="3:16" ht="9.9499999999999993" customHeight="1" x14ac:dyDescent="0.25"/>
    <row r="11056" spans="8:8" x14ac:dyDescent="0.25">
      <c r="H11056" s="145">
        <v>0</v>
      </c>
    </row>
  </sheetData>
  <mergeCells count="65">
    <mergeCell ref="D61:F61"/>
    <mergeCell ref="G61:J61"/>
    <mergeCell ref="D57:F57"/>
    <mergeCell ref="G57:J57"/>
    <mergeCell ref="D58:F58"/>
    <mergeCell ref="D59:F59"/>
    <mergeCell ref="G59:J59"/>
    <mergeCell ref="D60:F60"/>
    <mergeCell ref="G60:J60"/>
    <mergeCell ref="D56:F56"/>
    <mergeCell ref="G56:J56"/>
    <mergeCell ref="D46:I46"/>
    <mergeCell ref="D48:F48"/>
    <mergeCell ref="D49:F49"/>
    <mergeCell ref="D50:F50"/>
    <mergeCell ref="D51:I51"/>
    <mergeCell ref="D52:F52"/>
    <mergeCell ref="G52:J52"/>
    <mergeCell ref="D53:I53"/>
    <mergeCell ref="D54:F54"/>
    <mergeCell ref="G54:J54"/>
    <mergeCell ref="D55:F55"/>
    <mergeCell ref="G55:J55"/>
    <mergeCell ref="D45:F45"/>
    <mergeCell ref="G33:I33"/>
    <mergeCell ref="D34:J34"/>
    <mergeCell ref="D35:J35"/>
    <mergeCell ref="D36:F36"/>
    <mergeCell ref="D37:F37"/>
    <mergeCell ref="D38:F38"/>
    <mergeCell ref="D39:F39"/>
    <mergeCell ref="D40:F40"/>
    <mergeCell ref="G41:I41"/>
    <mergeCell ref="D42:J42"/>
    <mergeCell ref="D43:I43"/>
    <mergeCell ref="G27:I27"/>
    <mergeCell ref="D28:J28"/>
    <mergeCell ref="D29:J29"/>
    <mergeCell ref="D30:F30"/>
    <mergeCell ref="D31:F31"/>
    <mergeCell ref="D32:F32"/>
    <mergeCell ref="D21:F21"/>
    <mergeCell ref="D22:F22"/>
    <mergeCell ref="D23:F23"/>
    <mergeCell ref="D24:F24"/>
    <mergeCell ref="D25:F25"/>
    <mergeCell ref="D26:F26"/>
    <mergeCell ref="D20:F20"/>
    <mergeCell ref="E9:J9"/>
    <mergeCell ref="E10:J10"/>
    <mergeCell ref="E11:J11"/>
    <mergeCell ref="E12:J12"/>
    <mergeCell ref="E13:I14"/>
    <mergeCell ref="J13:J14"/>
    <mergeCell ref="E15:I16"/>
    <mergeCell ref="J15:J16"/>
    <mergeCell ref="D17:J17"/>
    <mergeCell ref="D18:J18"/>
    <mergeCell ref="D19:F19"/>
    <mergeCell ref="D8:J8"/>
    <mergeCell ref="C2:J2"/>
    <mergeCell ref="D4:E6"/>
    <mergeCell ref="F4:H6"/>
    <mergeCell ref="I4:J6"/>
    <mergeCell ref="D7:J7"/>
  </mergeCells>
  <conditionalFormatting sqref="P27">
    <cfRule type="cellIs" dxfId="3" priority="3" operator="lessThan">
      <formula>0</formula>
    </cfRule>
  </conditionalFormatting>
  <conditionalFormatting sqref="P41">
    <cfRule type="cellIs" dxfId="2" priority="2" operator="lessThan">
      <formula>0</formula>
    </cfRule>
  </conditionalFormatting>
  <conditionalFormatting sqref="P53">
    <cfRule type="cellIs" dxfId="1" priority="1" operator="lessThan">
      <formula>0</formula>
    </cfRule>
  </conditionalFormatting>
  <pageMargins left="0.7" right="0.7" top="0.75" bottom="0.75" header="0.3" footer="0.3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226E-3B51-4E39-BA53-EF8953676102}">
  <dimension ref="A1:F43"/>
  <sheetViews>
    <sheetView topLeftCell="A19" zoomScale="70" zoomScaleNormal="70" workbookViewId="0">
      <selection activeCell="D40" sqref="D40:E40"/>
    </sheetView>
  </sheetViews>
  <sheetFormatPr baseColWidth="10" defaultRowHeight="15" x14ac:dyDescent="0.25"/>
  <cols>
    <col min="1" max="1" width="51.140625" bestFit="1" customWidth="1"/>
    <col min="3" max="3" width="6.42578125" bestFit="1" customWidth="1"/>
    <col min="4" max="4" width="24.42578125" bestFit="1" customWidth="1"/>
    <col min="5" max="5" width="21.42578125" customWidth="1"/>
  </cols>
  <sheetData>
    <row r="1" spans="1:6" ht="15.75" thickBot="1" x14ac:dyDescent="0.3">
      <c r="A1" s="431"/>
      <c r="B1" s="431"/>
      <c r="C1" s="431"/>
      <c r="D1" s="431"/>
      <c r="E1" s="431"/>
      <c r="F1" s="431"/>
    </row>
    <row r="2" spans="1:6" x14ac:dyDescent="0.25">
      <c r="A2" s="432"/>
      <c r="B2" s="434" t="s">
        <v>23</v>
      </c>
      <c r="C2" s="434"/>
      <c r="D2" s="434"/>
      <c r="E2" s="38"/>
      <c r="F2" s="39"/>
    </row>
    <row r="3" spans="1:6" x14ac:dyDescent="0.25">
      <c r="A3" s="433"/>
      <c r="B3" s="435"/>
      <c r="C3" s="435"/>
      <c r="D3" s="435"/>
      <c r="E3" s="40"/>
      <c r="F3" s="39"/>
    </row>
    <row r="4" spans="1:6" x14ac:dyDescent="0.25">
      <c r="A4" s="436" t="s">
        <v>24</v>
      </c>
      <c r="B4" s="437"/>
      <c r="C4" s="437"/>
      <c r="D4" s="438"/>
      <c r="E4" s="41"/>
      <c r="F4" s="39"/>
    </row>
    <row r="5" spans="1:6" ht="15.75" thickBot="1" x14ac:dyDescent="0.3">
      <c r="A5" s="439" t="s">
        <v>25</v>
      </c>
      <c r="B5" s="440"/>
      <c r="C5" s="440"/>
      <c r="D5" s="440"/>
      <c r="E5" s="441"/>
      <c r="F5" s="39"/>
    </row>
    <row r="6" spans="1:6" x14ac:dyDescent="0.25">
      <c r="A6" s="42"/>
      <c r="B6" s="43"/>
      <c r="C6" s="42"/>
      <c r="D6" s="42"/>
      <c r="E6" s="42"/>
      <c r="F6" s="39"/>
    </row>
    <row r="7" spans="1:6" ht="15.75" thickBot="1" x14ac:dyDescent="0.3">
      <c r="A7" s="42"/>
      <c r="B7" s="43"/>
      <c r="C7" s="42"/>
      <c r="D7" s="42"/>
      <c r="E7" s="42"/>
      <c r="F7" s="39"/>
    </row>
    <row r="8" spans="1:6" x14ac:dyDescent="0.25">
      <c r="A8" s="442" t="s">
        <v>26</v>
      </c>
      <c r="B8" s="443"/>
      <c r="C8" s="443"/>
      <c r="D8" s="44" t="s">
        <v>27</v>
      </c>
      <c r="E8" s="45" t="str">
        <f>+[1]PRESUPUESTO!G21</f>
        <v>Unidad</v>
      </c>
      <c r="F8" s="39"/>
    </row>
    <row r="9" spans="1:6" ht="21.75" customHeight="1" x14ac:dyDescent="0.25">
      <c r="A9" s="444"/>
      <c r="B9" s="445"/>
      <c r="C9" s="445"/>
      <c r="D9" s="46">
        <f>+[1]PRESUPUESTO!C21</f>
        <v>0</v>
      </c>
      <c r="E9" s="47">
        <f>+[1]PRESUPUESTO!B21</f>
        <v>2.0099999999999998</v>
      </c>
      <c r="F9" s="39"/>
    </row>
    <row r="10" spans="1:6" x14ac:dyDescent="0.25">
      <c r="A10" s="48" t="s">
        <v>28</v>
      </c>
      <c r="B10" s="49" t="s">
        <v>9</v>
      </c>
      <c r="C10" s="49" t="s">
        <v>29</v>
      </c>
      <c r="D10" s="50" t="s">
        <v>30</v>
      </c>
      <c r="E10" s="51" t="s">
        <v>7</v>
      </c>
      <c r="F10" s="39"/>
    </row>
    <row r="11" spans="1:6" x14ac:dyDescent="0.25">
      <c r="A11" s="52"/>
      <c r="B11" s="53"/>
      <c r="C11" s="54"/>
      <c r="D11" s="55"/>
      <c r="E11" s="56"/>
      <c r="F11" s="39"/>
    </row>
    <row r="12" spans="1:6" x14ac:dyDescent="0.25">
      <c r="A12" s="57" t="s">
        <v>31</v>
      </c>
      <c r="B12" s="53"/>
      <c r="C12" s="54"/>
      <c r="D12" s="55"/>
      <c r="E12" s="56"/>
      <c r="F12" s="39"/>
    </row>
    <row r="13" spans="1:6" x14ac:dyDescent="0.25">
      <c r="A13" s="58" t="s">
        <v>32</v>
      </c>
      <c r="B13" s="59" t="s">
        <v>9</v>
      </c>
      <c r="C13" s="60">
        <v>1</v>
      </c>
      <c r="D13" s="61">
        <v>600000</v>
      </c>
      <c r="E13" s="62">
        <f>+D13*C13</f>
        <v>600000</v>
      </c>
      <c r="F13" s="39"/>
    </row>
    <row r="14" spans="1:6" x14ac:dyDescent="0.25">
      <c r="A14" s="63"/>
      <c r="B14" s="64"/>
      <c r="C14" s="65"/>
      <c r="D14" s="66"/>
      <c r="E14" s="67"/>
      <c r="F14" s="39"/>
    </row>
    <row r="15" spans="1:6" x14ac:dyDescent="0.25">
      <c r="A15" s="52"/>
      <c r="B15" s="53"/>
      <c r="C15" s="54"/>
      <c r="D15" s="68" t="s">
        <v>33</v>
      </c>
      <c r="E15" s="69">
        <f>SUM(E13:E14)</f>
        <v>600000</v>
      </c>
      <c r="F15" s="39"/>
    </row>
    <row r="16" spans="1:6" x14ac:dyDescent="0.25">
      <c r="A16" s="57" t="s">
        <v>34</v>
      </c>
      <c r="B16" s="53"/>
      <c r="C16" s="54"/>
      <c r="D16" s="55"/>
      <c r="E16" s="56"/>
      <c r="F16" s="39"/>
    </row>
    <row r="17" spans="1:6" x14ac:dyDescent="0.25">
      <c r="A17" s="63" t="s">
        <v>35</v>
      </c>
      <c r="B17" s="64" t="s">
        <v>36</v>
      </c>
      <c r="C17" s="65">
        <v>6</v>
      </c>
      <c r="D17" s="70">
        <v>60694.112187500003</v>
      </c>
      <c r="E17" s="62">
        <f>+C17*D17</f>
        <v>364164.67312500003</v>
      </c>
      <c r="F17" s="39"/>
    </row>
    <row r="18" spans="1:6" x14ac:dyDescent="0.25">
      <c r="A18" s="52"/>
      <c r="B18" s="53"/>
      <c r="C18" s="54"/>
      <c r="D18" s="68" t="s">
        <v>37</v>
      </c>
      <c r="E18" s="71">
        <f>SUM(E16:E17)</f>
        <v>364164.67312500003</v>
      </c>
      <c r="F18" s="39"/>
    </row>
    <row r="19" spans="1:6" x14ac:dyDescent="0.25">
      <c r="A19" s="57" t="s">
        <v>38</v>
      </c>
      <c r="B19" s="53"/>
      <c r="C19" s="54"/>
      <c r="D19" s="55"/>
      <c r="E19" s="56"/>
      <c r="F19" s="39"/>
    </row>
    <row r="20" spans="1:6" x14ac:dyDescent="0.25">
      <c r="A20" s="63" t="s">
        <v>39</v>
      </c>
      <c r="B20" s="64" t="s">
        <v>40</v>
      </c>
      <c r="C20" s="72">
        <v>0.55000000000000004</v>
      </c>
      <c r="D20" s="70">
        <v>130000</v>
      </c>
      <c r="E20" s="62">
        <f>+C20*D20</f>
        <v>71500</v>
      </c>
      <c r="F20" s="39"/>
    </row>
    <row r="21" spans="1:6" x14ac:dyDescent="0.25">
      <c r="A21" s="73" t="s">
        <v>41</v>
      </c>
      <c r="B21" s="74" t="s">
        <v>42</v>
      </c>
      <c r="C21" s="75">
        <v>5</v>
      </c>
      <c r="D21" s="76">
        <v>364164.67</v>
      </c>
      <c r="E21" s="62">
        <f>+C21*D21/100</f>
        <v>18208.233499999998</v>
      </c>
      <c r="F21" s="39"/>
    </row>
    <row r="22" spans="1:6" x14ac:dyDescent="0.25">
      <c r="A22" s="52"/>
      <c r="B22" s="53"/>
      <c r="C22" s="54"/>
      <c r="D22" s="68" t="s">
        <v>43</v>
      </c>
      <c r="E22" s="71">
        <f>SUM(E20:E21)</f>
        <v>89708.233500000002</v>
      </c>
      <c r="F22" s="39"/>
    </row>
    <row r="23" spans="1:6" x14ac:dyDescent="0.25">
      <c r="A23" s="57" t="s">
        <v>44</v>
      </c>
      <c r="B23" s="53"/>
      <c r="C23" s="54"/>
      <c r="D23" s="55"/>
      <c r="E23" s="56"/>
      <c r="F23" s="39"/>
    </row>
    <row r="24" spans="1:6" x14ac:dyDescent="0.25">
      <c r="A24" s="73"/>
      <c r="B24" s="74"/>
      <c r="C24" s="77"/>
      <c r="D24" s="78"/>
      <c r="E24" s="79">
        <f>+D24*C24</f>
        <v>0</v>
      </c>
      <c r="F24" s="39"/>
    </row>
    <row r="25" spans="1:6" x14ac:dyDescent="0.25">
      <c r="A25" s="52"/>
      <c r="B25" s="53"/>
      <c r="C25" s="54"/>
      <c r="D25" s="68" t="s">
        <v>45</v>
      </c>
      <c r="E25" s="71">
        <f>SUM(E24)</f>
        <v>0</v>
      </c>
      <c r="F25" s="39"/>
    </row>
    <row r="26" spans="1:6" ht="15.75" thickBot="1" x14ac:dyDescent="0.3">
      <c r="A26" s="52"/>
      <c r="B26" s="53"/>
      <c r="C26" s="54"/>
      <c r="D26" s="68"/>
      <c r="E26" s="80"/>
      <c r="F26" s="39"/>
    </row>
    <row r="27" spans="1:6" ht="15.75" thickTop="1" x14ac:dyDescent="0.25">
      <c r="A27" s="446" t="s">
        <v>46</v>
      </c>
      <c r="B27" s="447"/>
      <c r="C27" s="447"/>
      <c r="D27" s="448"/>
      <c r="E27" s="81">
        <f>ROUND(SUM(E25,E22,E18,E15),2)</f>
        <v>1053872.9099999999</v>
      </c>
      <c r="F27" s="39"/>
    </row>
    <row r="28" spans="1:6" x14ac:dyDescent="0.25">
      <c r="A28" s="82" t="s">
        <v>47</v>
      </c>
      <c r="B28" s="83" t="s">
        <v>42</v>
      </c>
      <c r="C28" s="84">
        <v>0</v>
      </c>
      <c r="D28" s="85"/>
      <c r="E28" s="86">
        <f>+E27*C28</f>
        <v>0</v>
      </c>
      <c r="F28" s="39"/>
    </row>
    <row r="29" spans="1:6" ht="15.75" thickBot="1" x14ac:dyDescent="0.3">
      <c r="A29" s="449" t="s">
        <v>48</v>
      </c>
      <c r="B29" s="450"/>
      <c r="C29" s="450"/>
      <c r="D29" s="450"/>
      <c r="E29" s="87">
        <f>+E27+E28</f>
        <v>1053872.9099999999</v>
      </c>
      <c r="F29" s="39"/>
    </row>
    <row r="30" spans="1:6" ht="15.75" thickTop="1" x14ac:dyDescent="0.25">
      <c r="A30" s="88" t="s">
        <v>49</v>
      </c>
      <c r="B30" s="89"/>
      <c r="C30" s="90">
        <v>0.25</v>
      </c>
      <c r="D30" s="91"/>
      <c r="E30" s="92">
        <f>+E29*C30</f>
        <v>263468.22749999998</v>
      </c>
      <c r="F30" s="39"/>
    </row>
    <row r="31" spans="1:6" x14ac:dyDescent="0.25">
      <c r="A31" s="93" t="s">
        <v>11</v>
      </c>
      <c r="B31" s="94"/>
      <c r="C31" s="95">
        <v>0.01</v>
      </c>
      <c r="D31" s="96"/>
      <c r="E31" s="97">
        <f>+E29*C31</f>
        <v>10538.729099999999</v>
      </c>
      <c r="F31" s="39"/>
    </row>
    <row r="32" spans="1:6" x14ac:dyDescent="0.25">
      <c r="A32" s="93" t="s">
        <v>13</v>
      </c>
      <c r="B32" s="94"/>
      <c r="C32" s="95">
        <v>0.04</v>
      </c>
      <c r="D32" s="96"/>
      <c r="E32" s="97">
        <f>+E29*C32</f>
        <v>42154.916399999995</v>
      </c>
      <c r="F32" s="39"/>
    </row>
    <row r="33" spans="1:6" x14ac:dyDescent="0.25">
      <c r="A33" s="98" t="s">
        <v>50</v>
      </c>
      <c r="B33" s="99"/>
      <c r="C33" s="100"/>
      <c r="D33" s="101"/>
      <c r="E33" s="102">
        <f>SUM(E30:E32)</f>
        <v>316161.87299999996</v>
      </c>
      <c r="F33" s="39"/>
    </row>
    <row r="34" spans="1:6" x14ac:dyDescent="0.25">
      <c r="A34" s="98"/>
      <c r="B34" s="99"/>
      <c r="C34" s="100"/>
      <c r="D34" s="101"/>
      <c r="E34" s="102"/>
      <c r="F34" s="39"/>
    </row>
    <row r="35" spans="1:6" ht="16.5" thickBot="1" x14ac:dyDescent="0.3">
      <c r="A35" s="451" t="s">
        <v>51</v>
      </c>
      <c r="B35" s="452"/>
      <c r="C35" s="452"/>
      <c r="D35" s="452"/>
      <c r="E35" s="103">
        <f>SUM(E29,E33)</f>
        <v>1370034.7829999998</v>
      </c>
      <c r="F35" s="39"/>
    </row>
    <row r="36" spans="1:6" ht="15.75" thickBot="1" x14ac:dyDescent="0.3">
      <c r="A36" s="42"/>
      <c r="B36" s="43"/>
      <c r="C36" s="42"/>
      <c r="D36" s="42"/>
      <c r="E36" s="104"/>
      <c r="F36" s="39"/>
    </row>
    <row r="37" spans="1:6" x14ac:dyDescent="0.25">
      <c r="A37" s="453" t="s">
        <v>52</v>
      </c>
      <c r="B37" s="454"/>
      <c r="C37" s="454"/>
      <c r="D37" s="455" t="s">
        <v>53</v>
      </c>
      <c r="E37" s="456"/>
      <c r="F37" s="39"/>
    </row>
    <row r="38" spans="1:6" x14ac:dyDescent="0.25">
      <c r="A38" s="429" t="s">
        <v>54</v>
      </c>
      <c r="B38" s="430"/>
      <c r="C38" s="430"/>
      <c r="D38" s="105"/>
      <c r="E38" s="106"/>
      <c r="F38" s="39"/>
    </row>
    <row r="39" spans="1:6" ht="24" customHeight="1" x14ac:dyDescent="0.25">
      <c r="A39" s="460" t="s">
        <v>55</v>
      </c>
      <c r="B39" s="461"/>
      <c r="C39" s="461"/>
      <c r="D39" s="462" t="s">
        <v>56</v>
      </c>
      <c r="E39" s="463"/>
      <c r="F39" s="39"/>
    </row>
    <row r="40" spans="1:6" x14ac:dyDescent="0.25">
      <c r="A40" s="429" t="s">
        <v>57</v>
      </c>
      <c r="B40" s="430"/>
      <c r="C40" s="430"/>
      <c r="D40" s="464"/>
      <c r="E40" s="465"/>
      <c r="F40" s="39"/>
    </row>
    <row r="41" spans="1:6" ht="21.75" customHeight="1" x14ac:dyDescent="0.25">
      <c r="A41" s="466" t="s">
        <v>58</v>
      </c>
      <c r="B41" s="467"/>
      <c r="C41" s="467"/>
      <c r="D41" s="468" t="s">
        <v>59</v>
      </c>
      <c r="E41" s="469"/>
      <c r="F41" s="39"/>
    </row>
    <row r="42" spans="1:6" x14ac:dyDescent="0.25">
      <c r="A42" s="429" t="s">
        <v>60</v>
      </c>
      <c r="B42" s="430"/>
      <c r="C42" s="430"/>
      <c r="D42" s="107" t="s">
        <v>61</v>
      </c>
      <c r="E42" s="108" t="s">
        <v>62</v>
      </c>
      <c r="F42" s="39"/>
    </row>
    <row r="43" spans="1:6" ht="29.25" customHeight="1" thickBot="1" x14ac:dyDescent="0.3">
      <c r="A43" s="457" t="s">
        <v>58</v>
      </c>
      <c r="B43" s="458"/>
      <c r="C43" s="459"/>
      <c r="D43" s="109"/>
      <c r="E43" s="110"/>
      <c r="F43" s="39"/>
    </row>
  </sheetData>
  <mergeCells count="20">
    <mergeCell ref="A42:C42"/>
    <mergeCell ref="A43:C43"/>
    <mergeCell ref="A39:C39"/>
    <mergeCell ref="D39:E39"/>
    <mergeCell ref="A40:C40"/>
    <mergeCell ref="D40:E40"/>
    <mergeCell ref="A41:C41"/>
    <mergeCell ref="D41:E41"/>
    <mergeCell ref="A38:C38"/>
    <mergeCell ref="A1:F1"/>
    <mergeCell ref="A2:A3"/>
    <mergeCell ref="B2:D3"/>
    <mergeCell ref="A4:D4"/>
    <mergeCell ref="A5:E5"/>
    <mergeCell ref="A8:C9"/>
    <mergeCell ref="A27:D27"/>
    <mergeCell ref="A29:D29"/>
    <mergeCell ref="A35:D35"/>
    <mergeCell ref="A37:C37"/>
    <mergeCell ref="D37:E37"/>
  </mergeCells>
  <conditionalFormatting sqref="A4">
    <cfRule type="cellIs" dxfId="0" priority="1" stopIfTrue="1" operator="equal">
      <formula>"ESCRIBA AQUÍ EL NOMBRE DE LA OBRA"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13</vt:i4>
      </vt:variant>
    </vt:vector>
  </HeadingPairs>
  <TitlesOfParts>
    <vt:vector size="22" baseType="lpstr">
      <vt:lpstr>Presupuesto</vt:lpstr>
      <vt:lpstr>PRESUPUESTO DIVIDIDO</vt:lpstr>
      <vt:lpstr>Apu 1.01</vt:lpstr>
      <vt:lpstr>Apu 2.01</vt:lpstr>
      <vt:lpstr>Apu 2.02</vt:lpstr>
      <vt:lpstr>Apu 2.03</vt:lpstr>
      <vt:lpstr>Apu 2.04</vt:lpstr>
      <vt:lpstr>Apu 2.05</vt:lpstr>
      <vt:lpstr>2,01</vt:lpstr>
      <vt:lpstr>'Apu 1.01'!Área_de_impresión</vt:lpstr>
      <vt:lpstr>'Apu 2.01'!Área_de_impresión</vt:lpstr>
      <vt:lpstr>'Apu 2.02'!Área_de_impresión</vt:lpstr>
      <vt:lpstr>'Apu 2.03'!Área_de_impresión</vt:lpstr>
      <vt:lpstr>'Apu 2.04'!Área_de_impresión</vt:lpstr>
      <vt:lpstr>'Apu 2.05'!Área_de_impresión</vt:lpstr>
      <vt:lpstr>Presupuesto!Área_de_impresión</vt:lpstr>
      <vt:lpstr>'Apu 1.01'!VALOR_APU</vt:lpstr>
      <vt:lpstr>'Apu 2.01'!VALOR_APU</vt:lpstr>
      <vt:lpstr>'Apu 2.02'!VALOR_APU</vt:lpstr>
      <vt:lpstr>'Apu 2.03'!VALOR_APU</vt:lpstr>
      <vt:lpstr>'Apu 2.04'!VALOR_APU</vt:lpstr>
      <vt:lpstr>'Apu 2.05'!VALOR_APU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Gobernacion Boyaca</dc:creator>
  <cp:lastModifiedBy>leonel aguilar</cp:lastModifiedBy>
  <dcterms:created xsi:type="dcterms:W3CDTF">2023-11-23T17:52:05Z</dcterms:created>
  <dcterms:modified xsi:type="dcterms:W3CDTF">2026-10-07T21:22:14Z</dcterms:modified>
</cp:coreProperties>
</file>