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carl\Downloads\2026.08.25 Documentos SEGURIDAD Y CONVIVENCIA 2519-2026-1\2026.08.25 Documentos SEGURIDAD Y CONVIVENCIA 2519-2026-1\"/>
    </mc:Choice>
  </mc:AlternateContent>
  <bookViews>
    <workbookView xWindow="0" yWindow="0" windowWidth="19368" windowHeight="7920"/>
  </bookViews>
  <sheets>
    <sheet name="ESTUDIO DE MERCADO AJUSTADO" sheetId="1" r:id="rId1"/>
  </sheets>
  <definedNames>
    <definedName name="_xlnm._FilterDatabase" localSheetId="0" hidden="1">'ESTUDIO DE MERCADO AJUSTADO'!$A$7:$AY$7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94" i="1" l="1"/>
  <c r="I17" i="1"/>
  <c r="G86" i="1"/>
  <c r="I86" i="1"/>
  <c r="K86" i="1"/>
  <c r="M86" i="1"/>
  <c r="O86" i="1"/>
  <c r="Q86" i="1"/>
  <c r="S86" i="1"/>
  <c r="U86" i="1"/>
  <c r="W86" i="1"/>
  <c r="Y86" i="1"/>
  <c r="AA86" i="1"/>
  <c r="AC86" i="1"/>
  <c r="AD86" i="1"/>
  <c r="AE86" i="1"/>
  <c r="AF86" i="1"/>
  <c r="AG86" i="1" l="1"/>
  <c r="AH86" i="1"/>
  <c r="AW86" i="1"/>
  <c r="AX86" i="1" s="1"/>
  <c r="AI86" i="1"/>
  <c r="AK86" i="1" l="1"/>
  <c r="AN86" i="1"/>
  <c r="AM86" i="1"/>
  <c r="AJ86" i="1"/>
  <c r="AL86" i="1"/>
  <c r="AP86" i="1"/>
  <c r="AO86" i="1"/>
  <c r="AT86" i="1" l="1"/>
  <c r="AU86" i="1"/>
  <c r="AS86" i="1"/>
  <c r="E81" i="1"/>
  <c r="G48" i="1"/>
  <c r="I48" i="1"/>
  <c r="K48" i="1"/>
  <c r="M48" i="1"/>
  <c r="O48" i="1"/>
  <c r="Q48" i="1"/>
  <c r="S48" i="1"/>
  <c r="U48" i="1"/>
  <c r="W48" i="1"/>
  <c r="Y48" i="1"/>
  <c r="AA48" i="1"/>
  <c r="AC48" i="1"/>
  <c r="AD48" i="1"/>
  <c r="AE48" i="1"/>
  <c r="AF48" i="1"/>
  <c r="AV86" i="1" l="1"/>
  <c r="AG48" i="1"/>
  <c r="AH48" i="1"/>
  <c r="AW48" i="1"/>
  <c r="AX48" i="1" s="1"/>
  <c r="AI48" i="1"/>
  <c r="AJ48" i="1" l="1"/>
  <c r="AN48" i="1"/>
  <c r="AM48" i="1"/>
  <c r="AK48" i="1"/>
  <c r="AO48" i="1"/>
  <c r="AL48" i="1"/>
  <c r="AP48" i="1"/>
  <c r="V96" i="1"/>
  <c r="T96" i="1"/>
  <c r="AR4" i="1"/>
  <c r="AQ4" i="1"/>
  <c r="AS48" i="1" l="1"/>
  <c r="AT48" i="1"/>
  <c r="AU48" i="1"/>
  <c r="AD9" i="1"/>
  <c r="AE9" i="1"/>
  <c r="AF9" i="1"/>
  <c r="AD10" i="1"/>
  <c r="AE10" i="1"/>
  <c r="AW10" i="1" s="1"/>
  <c r="AF10" i="1"/>
  <c r="AD11" i="1"/>
  <c r="AE11" i="1"/>
  <c r="AW11" i="1" s="1"/>
  <c r="AF11" i="1"/>
  <c r="AD12" i="1"/>
  <c r="AE12" i="1"/>
  <c r="AW12" i="1" s="1"/>
  <c r="AF12" i="1"/>
  <c r="AD13" i="1"/>
  <c r="AE13" i="1"/>
  <c r="AF13" i="1"/>
  <c r="AD14" i="1"/>
  <c r="AE14" i="1"/>
  <c r="AW14" i="1" s="1"/>
  <c r="AF14" i="1"/>
  <c r="AD15" i="1"/>
  <c r="AE15" i="1"/>
  <c r="AF15" i="1"/>
  <c r="AD16" i="1"/>
  <c r="AE16" i="1"/>
  <c r="AF16" i="1"/>
  <c r="AD17" i="1"/>
  <c r="AE17" i="1"/>
  <c r="AW17" i="1" s="1"/>
  <c r="AF17" i="1"/>
  <c r="AD18" i="1"/>
  <c r="AE18" i="1"/>
  <c r="AF18" i="1"/>
  <c r="AD19" i="1"/>
  <c r="AE19" i="1"/>
  <c r="AW19" i="1" s="1"/>
  <c r="AF19" i="1"/>
  <c r="AD20" i="1"/>
  <c r="AE20" i="1"/>
  <c r="AW20" i="1" s="1"/>
  <c r="AF20" i="1"/>
  <c r="AD21" i="1"/>
  <c r="AE21" i="1"/>
  <c r="AW21" i="1" s="1"/>
  <c r="AF21" i="1"/>
  <c r="AD22" i="1"/>
  <c r="AE22" i="1"/>
  <c r="AF22" i="1"/>
  <c r="AD23" i="1"/>
  <c r="AE23" i="1"/>
  <c r="AF23" i="1"/>
  <c r="AD24" i="1"/>
  <c r="AE24" i="1"/>
  <c r="AF24" i="1"/>
  <c r="AD25" i="1"/>
  <c r="AE25" i="1"/>
  <c r="AW25" i="1" s="1"/>
  <c r="AF25" i="1"/>
  <c r="AD26" i="1"/>
  <c r="AE26" i="1"/>
  <c r="AF26" i="1"/>
  <c r="AD27" i="1"/>
  <c r="AE27" i="1"/>
  <c r="AF27" i="1"/>
  <c r="AD28" i="1"/>
  <c r="AE28" i="1"/>
  <c r="AW28" i="1" s="1"/>
  <c r="AF28" i="1"/>
  <c r="AD29" i="1"/>
  <c r="AE29" i="1"/>
  <c r="AW29" i="1" s="1"/>
  <c r="AF29" i="1"/>
  <c r="AD30" i="1"/>
  <c r="AE30" i="1"/>
  <c r="AF30" i="1"/>
  <c r="AD31" i="1"/>
  <c r="AE31" i="1"/>
  <c r="AW31" i="1" s="1"/>
  <c r="AF31" i="1"/>
  <c r="AD32" i="1"/>
  <c r="AE32" i="1"/>
  <c r="AF32" i="1"/>
  <c r="AD33" i="1"/>
  <c r="AE33" i="1"/>
  <c r="AW33" i="1" s="1"/>
  <c r="AF33" i="1"/>
  <c r="AD34" i="1"/>
  <c r="AE34" i="1"/>
  <c r="AW34" i="1" s="1"/>
  <c r="AF34" i="1"/>
  <c r="AD35" i="1"/>
  <c r="AE35" i="1"/>
  <c r="AW35" i="1" s="1"/>
  <c r="AF35" i="1"/>
  <c r="AD36" i="1"/>
  <c r="AE36" i="1"/>
  <c r="AF36" i="1"/>
  <c r="AD37" i="1"/>
  <c r="AE37" i="1"/>
  <c r="AF37" i="1"/>
  <c r="AD38" i="1"/>
  <c r="AE38" i="1"/>
  <c r="AF38" i="1"/>
  <c r="AD39" i="1"/>
  <c r="AE39" i="1"/>
  <c r="AF39" i="1"/>
  <c r="AD40" i="1"/>
  <c r="AE40" i="1"/>
  <c r="AF40" i="1"/>
  <c r="AD41" i="1"/>
  <c r="AE41" i="1"/>
  <c r="AF41" i="1"/>
  <c r="AD42" i="1"/>
  <c r="AE42" i="1"/>
  <c r="AW42" i="1" s="1"/>
  <c r="AF42" i="1"/>
  <c r="AD43" i="1"/>
  <c r="AE43" i="1"/>
  <c r="AF43" i="1"/>
  <c r="AD44" i="1"/>
  <c r="AE44" i="1"/>
  <c r="AF44" i="1"/>
  <c r="AD45" i="1"/>
  <c r="AE45" i="1"/>
  <c r="AW45" i="1" s="1"/>
  <c r="AF45" i="1"/>
  <c r="AD46" i="1"/>
  <c r="AE46" i="1"/>
  <c r="AF46" i="1"/>
  <c r="AD47" i="1"/>
  <c r="AE47" i="1"/>
  <c r="AW47" i="1" s="1"/>
  <c r="AF47" i="1"/>
  <c r="AD49" i="1"/>
  <c r="AE49" i="1"/>
  <c r="AW49" i="1" s="1"/>
  <c r="AF49" i="1"/>
  <c r="AD50" i="1"/>
  <c r="AE50" i="1"/>
  <c r="AF50" i="1"/>
  <c r="AD51" i="1"/>
  <c r="AE51" i="1"/>
  <c r="AW51" i="1" s="1"/>
  <c r="AF51" i="1"/>
  <c r="AD52" i="1"/>
  <c r="AE52" i="1"/>
  <c r="AF52" i="1"/>
  <c r="AD53" i="1"/>
  <c r="AE53" i="1"/>
  <c r="AW53" i="1" s="1"/>
  <c r="AF53" i="1"/>
  <c r="AD54" i="1"/>
  <c r="AE54" i="1"/>
  <c r="AW54" i="1" s="1"/>
  <c r="AF54" i="1"/>
  <c r="AD55" i="1"/>
  <c r="AE55" i="1"/>
  <c r="AF55" i="1"/>
  <c r="AD56" i="1"/>
  <c r="AE56" i="1"/>
  <c r="AW56" i="1" s="1"/>
  <c r="AF56" i="1"/>
  <c r="AD57" i="1"/>
  <c r="AE57" i="1"/>
  <c r="AF57" i="1"/>
  <c r="AD58" i="1"/>
  <c r="AE58" i="1"/>
  <c r="AW58" i="1" s="1"/>
  <c r="AF58" i="1"/>
  <c r="AD59" i="1"/>
  <c r="AE59" i="1"/>
  <c r="AW59" i="1" s="1"/>
  <c r="AF59" i="1"/>
  <c r="AD60" i="1"/>
  <c r="AE60" i="1"/>
  <c r="AW60" i="1" s="1"/>
  <c r="AF60" i="1"/>
  <c r="AD61" i="1"/>
  <c r="AE61" i="1"/>
  <c r="AW61" i="1" s="1"/>
  <c r="AF61" i="1"/>
  <c r="AD62" i="1"/>
  <c r="AE62" i="1"/>
  <c r="AF62" i="1"/>
  <c r="AD63" i="1"/>
  <c r="AE63" i="1"/>
  <c r="AF63" i="1"/>
  <c r="AD64" i="1"/>
  <c r="AE64" i="1"/>
  <c r="AF64" i="1"/>
  <c r="AD65" i="1"/>
  <c r="AE65" i="1"/>
  <c r="AW65" i="1" s="1"/>
  <c r="AF65" i="1"/>
  <c r="AD66" i="1"/>
  <c r="AE66" i="1"/>
  <c r="AW66" i="1" s="1"/>
  <c r="AF66" i="1"/>
  <c r="AD67" i="1"/>
  <c r="AE67" i="1"/>
  <c r="AF67" i="1"/>
  <c r="AD68" i="1"/>
  <c r="AE68" i="1"/>
  <c r="AW68" i="1" s="1"/>
  <c r="AF68" i="1"/>
  <c r="AD69" i="1"/>
  <c r="AE69" i="1"/>
  <c r="AF69" i="1"/>
  <c r="AD70" i="1"/>
  <c r="AE70" i="1"/>
  <c r="AF70" i="1"/>
  <c r="AD71" i="1"/>
  <c r="AE71" i="1"/>
  <c r="AW71" i="1" s="1"/>
  <c r="AF71" i="1"/>
  <c r="AD72" i="1"/>
  <c r="AE72" i="1"/>
  <c r="AF72" i="1"/>
  <c r="AD73" i="1"/>
  <c r="AE73" i="1"/>
  <c r="AW73" i="1" s="1"/>
  <c r="AF73" i="1"/>
  <c r="AD74" i="1"/>
  <c r="AE74" i="1"/>
  <c r="AF74" i="1"/>
  <c r="AD75" i="1"/>
  <c r="AE75" i="1"/>
  <c r="AW75" i="1" s="1"/>
  <c r="AF75" i="1"/>
  <c r="AD76" i="1"/>
  <c r="AE76" i="1"/>
  <c r="AF76" i="1"/>
  <c r="AD77" i="1"/>
  <c r="AE77" i="1"/>
  <c r="AF77" i="1"/>
  <c r="AD78" i="1"/>
  <c r="AE78" i="1"/>
  <c r="AW78" i="1" s="1"/>
  <c r="AF78" i="1"/>
  <c r="AD79" i="1"/>
  <c r="AE79" i="1"/>
  <c r="AF79" i="1"/>
  <c r="AD80" i="1"/>
  <c r="AE80" i="1"/>
  <c r="AF80" i="1"/>
  <c r="AD81" i="1"/>
  <c r="AE81" i="1"/>
  <c r="AF81" i="1"/>
  <c r="AD82" i="1"/>
  <c r="AE82" i="1"/>
  <c r="AF82" i="1"/>
  <c r="AD83" i="1"/>
  <c r="AE83" i="1"/>
  <c r="AF83" i="1"/>
  <c r="AD84" i="1"/>
  <c r="AE84" i="1"/>
  <c r="AF84" i="1"/>
  <c r="AD85" i="1"/>
  <c r="AE85" i="1"/>
  <c r="AW85" i="1" s="1"/>
  <c r="AF85" i="1"/>
  <c r="AD87" i="1"/>
  <c r="AE87" i="1"/>
  <c r="AW87" i="1" s="1"/>
  <c r="AF87" i="1"/>
  <c r="AD88" i="1"/>
  <c r="AE88" i="1"/>
  <c r="AW88" i="1" s="1"/>
  <c r="AF88" i="1"/>
  <c r="AD89" i="1"/>
  <c r="AE89" i="1"/>
  <c r="AW89" i="1" s="1"/>
  <c r="AF89" i="1"/>
  <c r="AD90" i="1"/>
  <c r="AE90" i="1"/>
  <c r="AW90" i="1" s="1"/>
  <c r="AF90" i="1"/>
  <c r="AD91" i="1"/>
  <c r="AE91" i="1"/>
  <c r="AF91" i="1"/>
  <c r="AD92" i="1"/>
  <c r="AE92" i="1"/>
  <c r="AW92" i="1" s="1"/>
  <c r="AF92" i="1"/>
  <c r="AD93" i="1"/>
  <c r="AE93" i="1"/>
  <c r="AW93" i="1" s="1"/>
  <c r="AF93" i="1"/>
  <c r="AD94" i="1"/>
  <c r="AE94" i="1"/>
  <c r="AW94" i="1" s="1"/>
  <c r="AF94" i="1"/>
  <c r="AD95" i="1"/>
  <c r="AE95" i="1"/>
  <c r="AW95" i="1" s="1"/>
  <c r="AF95" i="1"/>
  <c r="AF8" i="1"/>
  <c r="AE8" i="1"/>
  <c r="AD8" i="1"/>
  <c r="AV48" i="1" l="1"/>
  <c r="AG14" i="1"/>
  <c r="AH21" i="1"/>
  <c r="AI25" i="1"/>
  <c r="AG50" i="1"/>
  <c r="AG35" i="1"/>
  <c r="AH39" i="1"/>
  <c r="AG47" i="1"/>
  <c r="AG79" i="1"/>
  <c r="AG52" i="1"/>
  <c r="AI40" i="1"/>
  <c r="AI81" i="1"/>
  <c r="AI49" i="1"/>
  <c r="AG37" i="1"/>
  <c r="AG41" i="1"/>
  <c r="AI10" i="1"/>
  <c r="AH62" i="1"/>
  <c r="AH17" i="1"/>
  <c r="AH13" i="1"/>
  <c r="AG60" i="1"/>
  <c r="AG43" i="1"/>
  <c r="AG12" i="1"/>
  <c r="AG92" i="1"/>
  <c r="AH87" i="1"/>
  <c r="AH77" i="1"/>
  <c r="AH41" i="1"/>
  <c r="AH83" i="1"/>
  <c r="AI67" i="1"/>
  <c r="AH82" i="1"/>
  <c r="AG23" i="1"/>
  <c r="AH18" i="1"/>
  <c r="AG32" i="1"/>
  <c r="AG17" i="1"/>
  <c r="AI42" i="1"/>
  <c r="AH26" i="1"/>
  <c r="AI16" i="1"/>
  <c r="AG74" i="1"/>
  <c r="AI21" i="1"/>
  <c r="AI73" i="1"/>
  <c r="AG9" i="1"/>
  <c r="AH94" i="1"/>
  <c r="AH29" i="1"/>
  <c r="AI24" i="1"/>
  <c r="AG89" i="1"/>
  <c r="AG83" i="1"/>
  <c r="AG68" i="1"/>
  <c r="AG63" i="1"/>
  <c r="AH53" i="1"/>
  <c r="AI18" i="1"/>
  <c r="AG57" i="1"/>
  <c r="AH31" i="1"/>
  <c r="AG93" i="1"/>
  <c r="AG26" i="1"/>
  <c r="AI17" i="1"/>
  <c r="AG76" i="1"/>
  <c r="AH56" i="1"/>
  <c r="AH51" i="1"/>
  <c r="AH45" i="1"/>
  <c r="AG21" i="1"/>
  <c r="AG11" i="1"/>
  <c r="AH92" i="1"/>
  <c r="AH71" i="1"/>
  <c r="AI29" i="1"/>
  <c r="AG25" i="1"/>
  <c r="AG75" i="1"/>
  <c r="AG55" i="1"/>
  <c r="AG39" i="1"/>
  <c r="AG29" i="1"/>
  <c r="AG15" i="1"/>
  <c r="AI65" i="1"/>
  <c r="AH74" i="1"/>
  <c r="AG33" i="1"/>
  <c r="AG24" i="1"/>
  <c r="AG19" i="1"/>
  <c r="AH84" i="1"/>
  <c r="AH54" i="1"/>
  <c r="AI92" i="1"/>
  <c r="AG58" i="1"/>
  <c r="AH34" i="1"/>
  <c r="AH38" i="1"/>
  <c r="AH47" i="1"/>
  <c r="AH20" i="1"/>
  <c r="AG85" i="1"/>
  <c r="AI72" i="1"/>
  <c r="AH52" i="1"/>
  <c r="AI37" i="1"/>
  <c r="AG28" i="1"/>
  <c r="AI75" i="1"/>
  <c r="AG66" i="1"/>
  <c r="AG61" i="1"/>
  <c r="AI51" i="1"/>
  <c r="AH46" i="1"/>
  <c r="AI23" i="1"/>
  <c r="AH95" i="1"/>
  <c r="AG84" i="1"/>
  <c r="AI90" i="1"/>
  <c r="AI80" i="1"/>
  <c r="AI56" i="1"/>
  <c r="AG51" i="1"/>
  <c r="AG36" i="1"/>
  <c r="AH27" i="1"/>
  <c r="AG70" i="1"/>
  <c r="AH60" i="1"/>
  <c r="AH22" i="1"/>
  <c r="AG64" i="1"/>
  <c r="AH44" i="1"/>
  <c r="AI39" i="1"/>
  <c r="AH30" i="1"/>
  <c r="AH9" i="1"/>
  <c r="AH93" i="1"/>
  <c r="AG88" i="1"/>
  <c r="AG78" i="1"/>
  <c r="AH69" i="1"/>
  <c r="AG59" i="1"/>
  <c r="AG13" i="1"/>
  <c r="AG94" i="1"/>
  <c r="AH85" i="1"/>
  <c r="AG81" i="1"/>
  <c r="AG73" i="1"/>
  <c r="AH61" i="1"/>
  <c r="AG53" i="1"/>
  <c r="AH37" i="1"/>
  <c r="AG30" i="1"/>
  <c r="AI26" i="1"/>
  <c r="AH23" i="1"/>
  <c r="AG16" i="1"/>
  <c r="AG90" i="1"/>
  <c r="AG65" i="1"/>
  <c r="AI57" i="1"/>
  <c r="AG44" i="1"/>
  <c r="AI33" i="1"/>
  <c r="AH33" i="1"/>
  <c r="AH19" i="1"/>
  <c r="AH12" i="1"/>
  <c r="AH80" i="1"/>
  <c r="AH76" i="1"/>
  <c r="AH72" i="1"/>
  <c r="AH68" i="1"/>
  <c r="AG49" i="1"/>
  <c r="AI15" i="1"/>
  <c r="AH89" i="1"/>
  <c r="AG80" i="1"/>
  <c r="AG72" i="1"/>
  <c r="AH64" i="1"/>
  <c r="AG40" i="1"/>
  <c r="AG22" i="1"/>
  <c r="AH15" i="1"/>
  <c r="AI89" i="1"/>
  <c r="AI83" i="1"/>
  <c r="AH75" i="1"/>
  <c r="AH67" i="1"/>
  <c r="AI64" i="1"/>
  <c r="AI59" i="1"/>
  <c r="AG56" i="1"/>
  <c r="AH43" i="1"/>
  <c r="AH36" i="1"/>
  <c r="AH25" i="1"/>
  <c r="AG18" i="1"/>
  <c r="AH11" i="1"/>
  <c r="AG71" i="1"/>
  <c r="AG67" i="1"/>
  <c r="AH59" i="1"/>
  <c r="AI32" i="1"/>
  <c r="AH79" i="1"/>
  <c r="AI47" i="1"/>
  <c r="AH88" i="1"/>
  <c r="AH63" i="1"/>
  <c r="AH42" i="1"/>
  <c r="AH14" i="1"/>
  <c r="AH10" i="1"/>
  <c r="AH78" i="1"/>
  <c r="AH70" i="1"/>
  <c r="AI66" i="1"/>
  <c r="AH55" i="1"/>
  <c r="AG46" i="1"/>
  <c r="AG42" i="1"/>
  <c r="AH35" i="1"/>
  <c r="AH28" i="1"/>
  <c r="AG10" i="1"/>
  <c r="AH66" i="1"/>
  <c r="AI58" i="1"/>
  <c r="AI31" i="1"/>
  <c r="AI13" i="1"/>
  <c r="AH91" i="1"/>
  <c r="AG87" i="1"/>
  <c r="AG82" i="1"/>
  <c r="AI74" i="1"/>
  <c r="AG62" i="1"/>
  <c r="AH58" i="1"/>
  <c r="AI50" i="1"/>
  <c r="AG38" i="1"/>
  <c r="AI34" i="1"/>
  <c r="AG27" i="1"/>
  <c r="AG95" i="1"/>
  <c r="AG91" i="1"/>
  <c r="AG54" i="1"/>
  <c r="AH50" i="1"/>
  <c r="AI41" i="1"/>
  <c r="AG31" i="1"/>
  <c r="AG20" i="1"/>
  <c r="AI9" i="1"/>
  <c r="AG77" i="1"/>
  <c r="AG69" i="1"/>
  <c r="AG45" i="1"/>
  <c r="AG34" i="1"/>
  <c r="AH90" i="1"/>
  <c r="AH81" i="1"/>
  <c r="AH73" i="1"/>
  <c r="AH65" i="1"/>
  <c r="AH57" i="1"/>
  <c r="AH49" i="1"/>
  <c r="AH40" i="1"/>
  <c r="AH32" i="1"/>
  <c r="AH24" i="1"/>
  <c r="AH16" i="1"/>
  <c r="AI95" i="1"/>
  <c r="AI87" i="1"/>
  <c r="AI78" i="1"/>
  <c r="AI70" i="1"/>
  <c r="AI62" i="1"/>
  <c r="AI54" i="1"/>
  <c r="AI45" i="1"/>
  <c r="AI94" i="1"/>
  <c r="AI85" i="1"/>
  <c r="AI77" i="1"/>
  <c r="AI69" i="1"/>
  <c r="AI61" i="1"/>
  <c r="AI53" i="1"/>
  <c r="AI44" i="1"/>
  <c r="AI36" i="1"/>
  <c r="AI28" i="1"/>
  <c r="AI20" i="1"/>
  <c r="AI12" i="1"/>
  <c r="AI91" i="1"/>
  <c r="AI82" i="1"/>
  <c r="AI88" i="1"/>
  <c r="AI79" i="1"/>
  <c r="AI71" i="1"/>
  <c r="AI63" i="1"/>
  <c r="AI55" i="1"/>
  <c r="AI46" i="1"/>
  <c r="AI38" i="1"/>
  <c r="AI30" i="1"/>
  <c r="AI22" i="1"/>
  <c r="AI14" i="1"/>
  <c r="AI93" i="1"/>
  <c r="AI84" i="1"/>
  <c r="AI76" i="1"/>
  <c r="AI68" i="1"/>
  <c r="AI60" i="1"/>
  <c r="AI52" i="1"/>
  <c r="AI43" i="1"/>
  <c r="AI35" i="1"/>
  <c r="AI27" i="1"/>
  <c r="AI19" i="1"/>
  <c r="AI11" i="1"/>
  <c r="AR44" i="1" l="1"/>
  <c r="AQ44" i="1"/>
  <c r="AO26" i="1"/>
  <c r="AI8" i="1"/>
  <c r="AH8" i="1"/>
  <c r="AG8" i="1"/>
  <c r="AK26" i="1"/>
  <c r="AL26" i="1"/>
  <c r="AM26" i="1"/>
  <c r="AO92" i="1" l="1"/>
  <c r="AL47" i="1"/>
  <c r="AN47" i="1"/>
  <c r="AO47" i="1"/>
  <c r="AO15" i="1"/>
  <c r="AJ26" i="1"/>
  <c r="AP26" i="1"/>
  <c r="AN26" i="1"/>
  <c r="AL89" i="1"/>
  <c r="AN15" i="1"/>
  <c r="AN49" i="1"/>
  <c r="AL15" i="1"/>
  <c r="AK47" i="1"/>
  <c r="AP65" i="1"/>
  <c r="AM47" i="1"/>
  <c r="AJ47" i="1"/>
  <c r="AO65" i="1"/>
  <c r="AP47" i="1"/>
  <c r="AL56" i="1"/>
  <c r="AM73" i="1"/>
  <c r="AL73" i="1"/>
  <c r="AP12" i="1"/>
  <c r="AM62" i="1"/>
  <c r="AP71" i="1"/>
  <c r="AK73" i="1"/>
  <c r="AM69" i="1"/>
  <c r="AJ56" i="1"/>
  <c r="AK17" i="1"/>
  <c r="AL57" i="1"/>
  <c r="AK31" i="1"/>
  <c r="AM57" i="1"/>
  <c r="AP57" i="1"/>
  <c r="AK15" i="1"/>
  <c r="AJ57" i="1"/>
  <c r="AJ73" i="1"/>
  <c r="AK24" i="1"/>
  <c r="AK93" i="1"/>
  <c r="AP73" i="1"/>
  <c r="AO73" i="1"/>
  <c r="AM65" i="1"/>
  <c r="AM15" i="1"/>
  <c r="AK57" i="1"/>
  <c r="AK65" i="1"/>
  <c r="AM39" i="1"/>
  <c r="AJ65" i="1"/>
  <c r="AO70" i="1"/>
  <c r="AL39" i="1"/>
  <c r="AO57" i="1"/>
  <c r="AP51" i="1"/>
  <c r="AK20" i="1"/>
  <c r="AP32" i="1"/>
  <c r="AN57" i="1"/>
  <c r="AP29" i="1"/>
  <c r="AL49" i="1"/>
  <c r="AJ31" i="1"/>
  <c r="AM72" i="1"/>
  <c r="AL65" i="1"/>
  <c r="AJ15" i="1"/>
  <c r="AL72" i="1"/>
  <c r="AJ85" i="1"/>
  <c r="AJ95" i="1"/>
  <c r="AP56" i="1"/>
  <c r="AN32" i="1"/>
  <c r="AM37" i="1"/>
  <c r="AK23" i="1"/>
  <c r="AL37" i="1"/>
  <c r="AO32" i="1"/>
  <c r="AK95" i="1"/>
  <c r="AN51" i="1"/>
  <c r="AM51" i="1"/>
  <c r="AP28" i="1"/>
  <c r="AP39" i="1"/>
  <c r="AM67" i="1"/>
  <c r="AJ37" i="1"/>
  <c r="AM32" i="1"/>
  <c r="AO39" i="1"/>
  <c r="AL67" i="1"/>
  <c r="AO37" i="1"/>
  <c r="AO44" i="1"/>
  <c r="AM85" i="1"/>
  <c r="AL32" i="1"/>
  <c r="AN39" i="1"/>
  <c r="AK67" i="1"/>
  <c r="AN37" i="1"/>
  <c r="AK32" i="1"/>
  <c r="AN65" i="1"/>
  <c r="AJ67" i="1"/>
  <c r="AN67" i="1"/>
  <c r="AM64" i="1"/>
  <c r="AJ39" i="1"/>
  <c r="AJ32" i="1"/>
  <c r="AP67" i="1"/>
  <c r="AM49" i="1"/>
  <c r="AN73" i="1"/>
  <c r="AK37" i="1"/>
  <c r="AP31" i="1"/>
  <c r="AK39" i="1"/>
  <c r="AO67" i="1"/>
  <c r="AK56" i="1"/>
  <c r="AK92" i="1"/>
  <c r="AM83" i="1"/>
  <c r="AL83" i="1"/>
  <c r="AL21" i="1"/>
  <c r="AO90" i="1"/>
  <c r="AP83" i="1"/>
  <c r="AP95" i="1"/>
  <c r="AO83" i="1"/>
  <c r="AO95" i="1"/>
  <c r="AJ83" i="1"/>
  <c r="AN95" i="1"/>
  <c r="AK49" i="1"/>
  <c r="AP90" i="1"/>
  <c r="AM20" i="1"/>
  <c r="AJ55" i="1"/>
  <c r="AJ29" i="1"/>
  <c r="AJ72" i="1"/>
  <c r="AK72" i="1"/>
  <c r="AP72" i="1"/>
  <c r="AL51" i="1"/>
  <c r="AM92" i="1"/>
  <c r="AP37" i="1"/>
  <c r="AK83" i="1"/>
  <c r="AO72" i="1"/>
  <c r="AM95" i="1"/>
  <c r="AK51" i="1"/>
  <c r="AL92" i="1"/>
  <c r="AO24" i="1"/>
  <c r="AM31" i="1"/>
  <c r="AN72" i="1"/>
  <c r="AL95" i="1"/>
  <c r="AJ51" i="1"/>
  <c r="AN24" i="1"/>
  <c r="AL31" i="1"/>
  <c r="AL29" i="1"/>
  <c r="AM21" i="1"/>
  <c r="AN90" i="1"/>
  <c r="AN80" i="1"/>
  <c r="AL85" i="1"/>
  <c r="AO51" i="1"/>
  <c r="AK85" i="1"/>
  <c r="AL40" i="1"/>
  <c r="AL62" i="1"/>
  <c r="AM80" i="1"/>
  <c r="AJ64" i="1"/>
  <c r="AM29" i="1"/>
  <c r="AK40" i="1"/>
  <c r="AK62" i="1"/>
  <c r="AL80" i="1"/>
  <c r="AP64" i="1"/>
  <c r="AN29" i="1"/>
  <c r="AJ40" i="1"/>
  <c r="AJ62" i="1"/>
  <c r="AK80" i="1"/>
  <c r="AJ49" i="1"/>
  <c r="AP40" i="1"/>
  <c r="AJ80" i="1"/>
  <c r="AP80" i="1"/>
  <c r="AN31" i="1"/>
  <c r="AO49" i="1"/>
  <c r="AO54" i="1"/>
  <c r="AP20" i="1"/>
  <c r="AO56" i="1"/>
  <c r="AN83" i="1"/>
  <c r="AK64" i="1"/>
  <c r="AP49" i="1"/>
  <c r="AP54" i="1"/>
  <c r="AO29" i="1"/>
  <c r="AO20" i="1"/>
  <c r="AL20" i="1"/>
  <c r="AN56" i="1"/>
  <c r="AK29" i="1"/>
  <c r="AN70" i="1"/>
  <c r="AO31" i="1"/>
  <c r="AK70" i="1"/>
  <c r="AO80" i="1"/>
  <c r="AL77" i="1"/>
  <c r="AL59" i="1"/>
  <c r="AK77" i="1"/>
  <c r="AK59" i="1"/>
  <c r="AM81" i="1"/>
  <c r="AP15" i="1"/>
  <c r="AJ77" i="1"/>
  <c r="AL81" i="1"/>
  <c r="AM77" i="1"/>
  <c r="AP23" i="1"/>
  <c r="AK81" i="1"/>
  <c r="AP85" i="1"/>
  <c r="AO23" i="1"/>
  <c r="AP77" i="1"/>
  <c r="AJ81" i="1"/>
  <c r="AO85" i="1"/>
  <c r="AN21" i="1"/>
  <c r="AN23" i="1"/>
  <c r="AN54" i="1"/>
  <c r="AP62" i="1"/>
  <c r="AJ92" i="1"/>
  <c r="AM12" i="1"/>
  <c r="AK12" i="1"/>
  <c r="AO62" i="1"/>
  <c r="AP92" i="1"/>
  <c r="AJ20" i="1"/>
  <c r="AN77" i="1"/>
  <c r="AN62" i="1"/>
  <c r="AJ59" i="1"/>
  <c r="AM59" i="1"/>
  <c r="AJ17" i="1"/>
  <c r="AP17" i="1"/>
  <c r="AO12" i="1"/>
  <c r="AJ93" i="1"/>
  <c r="AP59" i="1"/>
  <c r="AN92" i="1"/>
  <c r="AM78" i="1"/>
  <c r="AJ23" i="1"/>
  <c r="AP93" i="1"/>
  <c r="AM90" i="1"/>
  <c r="AN20" i="1"/>
  <c r="AO59" i="1"/>
  <c r="AL78" i="1"/>
  <c r="AM56" i="1"/>
  <c r="AO40" i="1"/>
  <c r="AL17" i="1"/>
  <c r="AO93" i="1"/>
  <c r="AL90" i="1"/>
  <c r="AJ70" i="1"/>
  <c r="AW70" i="1" s="1"/>
  <c r="AO77" i="1"/>
  <c r="AN59" i="1"/>
  <c r="AK78" i="1"/>
  <c r="AN12" i="1"/>
  <c r="AN93" i="1"/>
  <c r="AK90" i="1"/>
  <c r="AP70" i="1"/>
  <c r="AL64" i="1"/>
  <c r="AJ12" i="1"/>
  <c r="AL12" i="1"/>
  <c r="AM40" i="1"/>
  <c r="AO28" i="1"/>
  <c r="AJ90" i="1"/>
  <c r="AM17" i="1"/>
  <c r="AO17" i="1"/>
  <c r="AK71" i="1"/>
  <c r="AN87" i="1"/>
  <c r="AO87" i="1"/>
  <c r="AP87" i="1"/>
  <c r="AJ87" i="1"/>
  <c r="AK87" i="1"/>
  <c r="AL87" i="1"/>
  <c r="AM87" i="1"/>
  <c r="AK10" i="1"/>
  <c r="AL10" i="1"/>
  <c r="AM10" i="1"/>
  <c r="AN10" i="1"/>
  <c r="AO10" i="1"/>
  <c r="AP10" i="1"/>
  <c r="AJ10" i="1"/>
  <c r="AL34" i="1"/>
  <c r="AN30" i="1"/>
  <c r="AO30" i="1"/>
  <c r="AP30" i="1"/>
  <c r="AJ30" i="1"/>
  <c r="AK30" i="1"/>
  <c r="AM30" i="1"/>
  <c r="AL30" i="1"/>
  <c r="AK34" i="1"/>
  <c r="AJ94" i="1"/>
  <c r="AK94" i="1"/>
  <c r="AL94" i="1"/>
  <c r="AM94" i="1"/>
  <c r="AO94" i="1"/>
  <c r="AN94" i="1"/>
  <c r="AP94" i="1"/>
  <c r="AN46" i="1"/>
  <c r="AO46" i="1"/>
  <c r="AP46" i="1"/>
  <c r="AJ46" i="1"/>
  <c r="AK46" i="1"/>
  <c r="AM46" i="1"/>
  <c r="AL46" i="1"/>
  <c r="AP34" i="1"/>
  <c r="AM93" i="1"/>
  <c r="AJ69" i="1"/>
  <c r="AM44" i="1"/>
  <c r="AK89" i="1"/>
  <c r="AN82" i="1"/>
  <c r="AO82" i="1"/>
  <c r="AP82" i="1"/>
  <c r="AJ82" i="1"/>
  <c r="AL82" i="1"/>
  <c r="AK82" i="1"/>
  <c r="AM82" i="1"/>
  <c r="AN79" i="1"/>
  <c r="AO79" i="1"/>
  <c r="AP79" i="1"/>
  <c r="AJ79" i="1"/>
  <c r="AK79" i="1"/>
  <c r="AM79" i="1"/>
  <c r="AL79" i="1"/>
  <c r="AN85" i="1"/>
  <c r="AL69" i="1"/>
  <c r="AL44" i="1"/>
  <c r="AJ89" i="1"/>
  <c r="AM36" i="1"/>
  <c r="AN36" i="1"/>
  <c r="AO36" i="1"/>
  <c r="AP36" i="1"/>
  <c r="AK36" i="1"/>
  <c r="AL36" i="1"/>
  <c r="AJ36" i="1"/>
  <c r="AJ19" i="1"/>
  <c r="AK19" i="1"/>
  <c r="AL19" i="1"/>
  <c r="AM19" i="1"/>
  <c r="AN19" i="1"/>
  <c r="AO19" i="1"/>
  <c r="AP19" i="1"/>
  <c r="AJ61" i="1"/>
  <c r="AK61" i="1"/>
  <c r="AL61" i="1"/>
  <c r="AM61" i="1"/>
  <c r="AO61" i="1"/>
  <c r="AN61" i="1"/>
  <c r="AP61" i="1"/>
  <c r="AO55" i="1"/>
  <c r="AL43" i="1"/>
  <c r="AJ78" i="1"/>
  <c r="AK69" i="1"/>
  <c r="AK44" i="1"/>
  <c r="AP89" i="1"/>
  <c r="AK75" i="1"/>
  <c r="AL75" i="1"/>
  <c r="AM75" i="1"/>
  <c r="AN75" i="1"/>
  <c r="AO75" i="1"/>
  <c r="AP75" i="1"/>
  <c r="AJ75" i="1"/>
  <c r="AN76" i="1"/>
  <c r="AO76" i="1"/>
  <c r="AP76" i="1"/>
  <c r="AJ76" i="1"/>
  <c r="AK76" i="1"/>
  <c r="AL76" i="1"/>
  <c r="AM76" i="1"/>
  <c r="AN55" i="1"/>
  <c r="AK43" i="1"/>
  <c r="AP69" i="1"/>
  <c r="AJ44" i="1"/>
  <c r="AO89" i="1"/>
  <c r="AJ74" i="1"/>
  <c r="AK74" i="1"/>
  <c r="AL74" i="1"/>
  <c r="AM74" i="1"/>
  <c r="AN74" i="1"/>
  <c r="AP74" i="1"/>
  <c r="AO74" i="1"/>
  <c r="AN27" i="1"/>
  <c r="AO27" i="1"/>
  <c r="AP27" i="1"/>
  <c r="AJ27" i="1"/>
  <c r="AK27" i="1"/>
  <c r="AL27" i="1"/>
  <c r="AM27" i="1"/>
  <c r="AJ43" i="1"/>
  <c r="AN34" i="1"/>
  <c r="AO69" i="1"/>
  <c r="AN89" i="1"/>
  <c r="AJ25" i="1"/>
  <c r="AK25" i="1"/>
  <c r="AL25" i="1"/>
  <c r="AM25" i="1"/>
  <c r="AN25" i="1"/>
  <c r="AP25" i="1"/>
  <c r="AO25" i="1"/>
  <c r="AN11" i="1"/>
  <c r="AO11" i="1"/>
  <c r="AP11" i="1"/>
  <c r="AJ11" i="1"/>
  <c r="AK11" i="1"/>
  <c r="AL11" i="1"/>
  <c r="AM11" i="1"/>
  <c r="AJ41" i="1"/>
  <c r="AK41" i="1"/>
  <c r="AL41" i="1"/>
  <c r="AM41" i="1"/>
  <c r="AN41" i="1"/>
  <c r="AP41" i="1"/>
  <c r="AO41" i="1"/>
  <c r="AN71" i="1"/>
  <c r="AJ21" i="1"/>
  <c r="AL60" i="1"/>
  <c r="AP43" i="1"/>
  <c r="AP55" i="1"/>
  <c r="AO64" i="1"/>
  <c r="AN69" i="1"/>
  <c r="AJ71" i="1"/>
  <c r="AN14" i="1"/>
  <c r="AO14" i="1"/>
  <c r="AP14" i="1"/>
  <c r="AJ14" i="1"/>
  <c r="AK14" i="1"/>
  <c r="AM14" i="1"/>
  <c r="AL14" i="1"/>
  <c r="AO71" i="1"/>
  <c r="AK21" i="1"/>
  <c r="AJ22" i="1"/>
  <c r="AK22" i="1"/>
  <c r="AL22" i="1"/>
  <c r="AM22" i="1"/>
  <c r="AN22" i="1"/>
  <c r="AO22" i="1"/>
  <c r="AP22" i="1"/>
  <c r="AJ35" i="1"/>
  <c r="AK35" i="1"/>
  <c r="AL35" i="1"/>
  <c r="AM35" i="1"/>
  <c r="AN35" i="1"/>
  <c r="AO35" i="1"/>
  <c r="AP35" i="1"/>
  <c r="AM23" i="1"/>
  <c r="AN50" i="1"/>
  <c r="AO50" i="1"/>
  <c r="AP50" i="1"/>
  <c r="AJ50" i="1"/>
  <c r="AL50" i="1"/>
  <c r="AK50" i="1"/>
  <c r="AM50" i="1"/>
  <c r="AN40" i="1"/>
  <c r="AM53" i="1"/>
  <c r="AN53" i="1"/>
  <c r="AO53" i="1"/>
  <c r="AP53" i="1"/>
  <c r="AK53" i="1"/>
  <c r="AJ53" i="1"/>
  <c r="AL53" i="1"/>
  <c r="AP21" i="1"/>
  <c r="AL23" i="1"/>
  <c r="AK60" i="1"/>
  <c r="AO43" i="1"/>
  <c r="AJ13" i="1"/>
  <c r="AK13" i="1"/>
  <c r="AL13" i="1"/>
  <c r="AM13" i="1"/>
  <c r="AN13" i="1"/>
  <c r="AO13" i="1"/>
  <c r="AP13" i="1"/>
  <c r="AP81" i="1"/>
  <c r="AL24" i="1"/>
  <c r="AO21" i="1"/>
  <c r="AJ60" i="1"/>
  <c r="AM28" i="1"/>
  <c r="AN63" i="1"/>
  <c r="AO63" i="1"/>
  <c r="AP63" i="1"/>
  <c r="AJ63" i="1"/>
  <c r="AK63" i="1"/>
  <c r="AM63" i="1"/>
  <c r="AL63" i="1"/>
  <c r="AN43" i="1"/>
  <c r="AO81" i="1"/>
  <c r="AN28" i="1"/>
  <c r="AN64" i="1"/>
  <c r="AJ88" i="1"/>
  <c r="AK88" i="1"/>
  <c r="AL88" i="1"/>
  <c r="AM88" i="1"/>
  <c r="AN88" i="1"/>
  <c r="AO88" i="1"/>
  <c r="AP88" i="1"/>
  <c r="AJ34" i="1"/>
  <c r="AN33" i="1"/>
  <c r="AO33" i="1"/>
  <c r="AP33" i="1"/>
  <c r="AJ33" i="1"/>
  <c r="AL33" i="1"/>
  <c r="AM33" i="1"/>
  <c r="AK33" i="1"/>
  <c r="AJ58" i="1"/>
  <c r="AK58" i="1"/>
  <c r="AL58" i="1"/>
  <c r="AM58" i="1"/>
  <c r="AN58" i="1"/>
  <c r="AP58" i="1"/>
  <c r="AO58" i="1"/>
  <c r="AN66" i="1"/>
  <c r="AO66" i="1"/>
  <c r="AP66" i="1"/>
  <c r="AJ66" i="1"/>
  <c r="AL66" i="1"/>
  <c r="AK66" i="1"/>
  <c r="AM66" i="1"/>
  <c r="AP24" i="1"/>
  <c r="AJ24" i="1"/>
  <c r="AM24" i="1"/>
  <c r="AP60" i="1"/>
  <c r="AL28" i="1"/>
  <c r="AM54" i="1"/>
  <c r="AM55" i="1"/>
  <c r="AM43" i="1"/>
  <c r="AN81" i="1"/>
  <c r="AP78" i="1"/>
  <c r="AO34" i="1"/>
  <c r="AJ9" i="1"/>
  <c r="AK9" i="1"/>
  <c r="AL9" i="1"/>
  <c r="AM9" i="1"/>
  <c r="AN9" i="1"/>
  <c r="AP9" i="1"/>
  <c r="AO9" i="1"/>
  <c r="AJ68" i="1"/>
  <c r="AK68" i="1"/>
  <c r="AL68" i="1"/>
  <c r="AM68" i="1"/>
  <c r="AN68" i="1"/>
  <c r="AO68" i="1"/>
  <c r="AP68" i="1"/>
  <c r="AM60" i="1"/>
  <c r="AO60" i="1"/>
  <c r="AK28" i="1"/>
  <c r="AM70" i="1"/>
  <c r="AL54" i="1"/>
  <c r="AJ52" i="1"/>
  <c r="AK52" i="1"/>
  <c r="AL52" i="1"/>
  <c r="AM52" i="1"/>
  <c r="AN52" i="1"/>
  <c r="AO52" i="1"/>
  <c r="AP52" i="1"/>
  <c r="AL55" i="1"/>
  <c r="AO78" i="1"/>
  <c r="AN44" i="1"/>
  <c r="AM89" i="1"/>
  <c r="AJ45" i="1"/>
  <c r="AK45" i="1"/>
  <c r="AL45" i="1"/>
  <c r="AM45" i="1"/>
  <c r="AN45" i="1"/>
  <c r="AO45" i="1"/>
  <c r="AP45" i="1"/>
  <c r="AK42" i="1"/>
  <c r="AL42" i="1"/>
  <c r="AM42" i="1"/>
  <c r="AN42" i="1"/>
  <c r="AO42" i="1"/>
  <c r="AP42" i="1"/>
  <c r="AJ42" i="1"/>
  <c r="AN17" i="1"/>
  <c r="AO18" i="1"/>
  <c r="AP18" i="1"/>
  <c r="AJ18" i="1"/>
  <c r="AK18" i="1"/>
  <c r="AL18" i="1"/>
  <c r="AM18" i="1"/>
  <c r="AN18" i="1"/>
  <c r="AM71" i="1"/>
  <c r="AL93" i="1"/>
  <c r="AJ84" i="1"/>
  <c r="AK84" i="1"/>
  <c r="AL84" i="1"/>
  <c r="AM84" i="1"/>
  <c r="AN84" i="1"/>
  <c r="AO84" i="1"/>
  <c r="AP84" i="1"/>
  <c r="AN60" i="1"/>
  <c r="AJ28" i="1"/>
  <c r="AL70" i="1"/>
  <c r="AK54" i="1"/>
  <c r="AK55" i="1"/>
  <c r="AJ16" i="1"/>
  <c r="AK16" i="1"/>
  <c r="AL16" i="1"/>
  <c r="AM16" i="1"/>
  <c r="AN16" i="1"/>
  <c r="AO16" i="1"/>
  <c r="AP16" i="1"/>
  <c r="AN78" i="1"/>
  <c r="AP44" i="1"/>
  <c r="AJ91" i="1"/>
  <c r="AK91" i="1"/>
  <c r="AL91" i="1"/>
  <c r="AM91" i="1"/>
  <c r="AN91" i="1"/>
  <c r="AP91" i="1"/>
  <c r="AO91" i="1"/>
  <c r="AJ38" i="1"/>
  <c r="AK38" i="1"/>
  <c r="AL38" i="1"/>
  <c r="AM38" i="1"/>
  <c r="AN38" i="1"/>
  <c r="AO38" i="1"/>
  <c r="AP38" i="1"/>
  <c r="AL71" i="1"/>
  <c r="AJ54" i="1"/>
  <c r="AM34" i="1"/>
  <c r="AW83" i="1" l="1"/>
  <c r="AX83" i="1" s="1"/>
  <c r="AW64" i="1"/>
  <c r="AW81" i="1"/>
  <c r="AW91" i="1"/>
  <c r="AX91" i="1" s="1"/>
  <c r="AW80" i="1"/>
  <c r="AX80" i="1" s="1"/>
  <c r="AW41" i="1"/>
  <c r="AX41" i="1" s="1"/>
  <c r="AW74" i="1"/>
  <c r="AX74" i="1" s="1"/>
  <c r="AW32" i="1"/>
  <c r="AX32" i="1" s="1"/>
  <c r="AW39" i="1"/>
  <c r="AX39" i="1" s="1"/>
  <c r="AW37" i="1"/>
  <c r="AX37" i="1" s="1"/>
  <c r="AW15" i="1"/>
  <c r="AW24" i="1"/>
  <c r="AW43" i="1"/>
  <c r="AX43" i="1" s="1"/>
  <c r="AW44" i="1"/>
  <c r="AX44" i="1" s="1"/>
  <c r="AW69" i="1"/>
  <c r="AX69" i="1" s="1"/>
  <c r="AW62" i="1"/>
  <c r="AX62" i="1" s="1"/>
  <c r="AW52" i="1"/>
  <c r="AX52" i="1" s="1"/>
  <c r="AW40" i="1"/>
  <c r="AX40" i="1" s="1"/>
  <c r="AW67" i="1"/>
  <c r="AW82" i="1"/>
  <c r="AW77" i="1"/>
  <c r="AX77" i="1" s="1"/>
  <c r="AW26" i="1"/>
  <c r="AW13" i="1"/>
  <c r="AX13" i="1" s="1"/>
  <c r="AW50" i="1"/>
  <c r="AX50" i="1" s="1"/>
  <c r="AW27" i="1"/>
  <c r="AW79" i="1"/>
  <c r="AX79" i="1" s="1"/>
  <c r="AW23" i="1"/>
  <c r="AX23" i="1" s="1"/>
  <c r="AW9" i="1"/>
  <c r="AW63" i="1"/>
  <c r="AX63" i="1" s="1"/>
  <c r="AW72" i="1"/>
  <c r="AX72" i="1" s="1"/>
  <c r="AW84" i="1"/>
  <c r="AX84" i="1" s="1"/>
  <c r="AW38" i="1"/>
  <c r="AX38" i="1" s="1"/>
  <c r="AW22" i="1"/>
  <c r="AX22" i="1" s="1"/>
  <c r="AW36" i="1"/>
  <c r="AX36" i="1" s="1"/>
  <c r="AW30" i="1"/>
  <c r="AW18" i="1"/>
  <c r="AX18" i="1" s="1"/>
  <c r="AW76" i="1"/>
  <c r="AX76" i="1" s="1"/>
  <c r="AW46" i="1"/>
  <c r="AX46" i="1" s="1"/>
  <c r="AW55" i="1"/>
  <c r="AX55" i="1" s="1"/>
  <c r="AW57" i="1"/>
  <c r="AX57" i="1" s="1"/>
  <c r="AW16" i="1"/>
  <c r="AX16" i="1" s="1"/>
  <c r="AT60" i="1"/>
  <c r="AS60" i="1"/>
  <c r="AU60" i="1"/>
  <c r="AS53" i="1"/>
  <c r="AU53" i="1"/>
  <c r="AT53" i="1"/>
  <c r="AT47" i="1"/>
  <c r="AS47" i="1"/>
  <c r="AU47" i="1"/>
  <c r="AS81" i="1"/>
  <c r="AT81" i="1"/>
  <c r="AU81" i="1"/>
  <c r="AS14" i="1"/>
  <c r="AT14" i="1"/>
  <c r="AU14" i="1"/>
  <c r="AS25" i="1"/>
  <c r="AT25" i="1"/>
  <c r="AU25" i="1"/>
  <c r="AU90" i="1"/>
  <c r="AS90" i="1"/>
  <c r="AT90" i="1"/>
  <c r="AU83" i="1"/>
  <c r="AS83" i="1"/>
  <c r="AT83" i="1"/>
  <c r="AS95" i="1"/>
  <c r="AT95" i="1"/>
  <c r="AU95" i="1"/>
  <c r="AS65" i="1"/>
  <c r="AT65" i="1"/>
  <c r="AU65" i="1"/>
  <c r="AU70" i="1"/>
  <c r="AS70" i="1"/>
  <c r="AT70" i="1"/>
  <c r="AT88" i="1"/>
  <c r="AS88" i="1"/>
  <c r="AU88" i="1"/>
  <c r="AT89" i="1"/>
  <c r="AU89" i="1"/>
  <c r="AS89" i="1"/>
  <c r="AU59" i="1"/>
  <c r="AT59" i="1"/>
  <c r="AS59" i="1"/>
  <c r="AU80" i="1"/>
  <c r="AS80" i="1"/>
  <c r="AT80" i="1"/>
  <c r="AU85" i="1"/>
  <c r="AS85" i="1"/>
  <c r="AT85" i="1"/>
  <c r="AU68" i="1"/>
  <c r="AS68" i="1"/>
  <c r="AT68" i="1"/>
  <c r="AT58" i="1"/>
  <c r="AU58" i="1"/>
  <c r="AS58" i="1"/>
  <c r="AS41" i="1"/>
  <c r="AT41" i="1"/>
  <c r="AU41" i="1"/>
  <c r="AS74" i="1"/>
  <c r="AT74" i="1"/>
  <c r="AU74" i="1"/>
  <c r="AS61" i="1"/>
  <c r="AT61" i="1"/>
  <c r="AU61" i="1"/>
  <c r="AT32" i="1"/>
  <c r="AU32" i="1"/>
  <c r="AS32" i="1"/>
  <c r="AU56" i="1"/>
  <c r="AS56" i="1"/>
  <c r="AT56" i="1"/>
  <c r="AT49" i="1"/>
  <c r="AS49" i="1"/>
  <c r="AU49" i="1"/>
  <c r="AT42" i="1"/>
  <c r="AS42" i="1"/>
  <c r="AU42" i="1"/>
  <c r="AS10" i="1"/>
  <c r="AT10" i="1"/>
  <c r="AU10" i="1"/>
  <c r="AT35" i="1"/>
  <c r="AU35" i="1"/>
  <c r="AS35" i="1"/>
  <c r="AT15" i="1"/>
  <c r="AU15" i="1"/>
  <c r="AS15" i="1"/>
  <c r="AU12" i="1"/>
  <c r="AS12" i="1"/>
  <c r="AT12" i="1"/>
  <c r="AT20" i="1"/>
  <c r="AU20" i="1"/>
  <c r="AS20" i="1"/>
  <c r="AU39" i="1"/>
  <c r="AS39" i="1"/>
  <c r="AT39" i="1"/>
  <c r="AT69" i="1"/>
  <c r="AU69" i="1"/>
  <c r="AS69" i="1"/>
  <c r="AS94" i="1"/>
  <c r="AU94" i="1"/>
  <c r="AT94" i="1"/>
  <c r="AS62" i="1"/>
  <c r="AU62" i="1"/>
  <c r="AT62" i="1"/>
  <c r="AS24" i="1"/>
  <c r="AT24" i="1"/>
  <c r="AU24" i="1"/>
  <c r="AT52" i="1"/>
  <c r="AU52" i="1"/>
  <c r="AS52" i="1"/>
  <c r="AS33" i="1"/>
  <c r="AU33" i="1"/>
  <c r="AT33" i="1"/>
  <c r="AS11" i="1"/>
  <c r="AT11" i="1"/>
  <c r="AU11" i="1"/>
  <c r="AS40" i="1"/>
  <c r="AT40" i="1"/>
  <c r="AU40" i="1"/>
  <c r="AU67" i="1"/>
  <c r="AT67" i="1"/>
  <c r="AS67" i="1"/>
  <c r="AS31" i="1"/>
  <c r="AT31" i="1"/>
  <c r="AU31" i="1"/>
  <c r="AS71" i="1"/>
  <c r="AT71" i="1"/>
  <c r="AU71" i="1"/>
  <c r="AT38" i="1"/>
  <c r="AS38" i="1"/>
  <c r="AU38" i="1"/>
  <c r="AT16" i="1"/>
  <c r="AU16" i="1"/>
  <c r="AS16" i="1"/>
  <c r="AU77" i="1"/>
  <c r="AS77" i="1"/>
  <c r="AT77" i="1"/>
  <c r="AU26" i="1"/>
  <c r="AT26" i="1"/>
  <c r="AS26" i="1"/>
  <c r="AU64" i="1"/>
  <c r="AS64" i="1"/>
  <c r="AT64" i="1"/>
  <c r="AT66" i="1"/>
  <c r="AU66" i="1"/>
  <c r="AS66" i="1"/>
  <c r="AS13" i="1"/>
  <c r="AT13" i="1"/>
  <c r="AU13" i="1"/>
  <c r="AT50" i="1"/>
  <c r="AU50" i="1"/>
  <c r="AS50" i="1"/>
  <c r="AS27" i="1"/>
  <c r="AT27" i="1"/>
  <c r="AU27" i="1"/>
  <c r="AT79" i="1"/>
  <c r="AS79" i="1"/>
  <c r="AU79" i="1"/>
  <c r="AS23" i="1"/>
  <c r="AT23" i="1"/>
  <c r="AU23" i="1"/>
  <c r="AS9" i="1"/>
  <c r="AT9" i="1"/>
  <c r="AU9" i="1"/>
  <c r="AT63" i="1"/>
  <c r="AU63" i="1"/>
  <c r="AS63" i="1"/>
  <c r="AS78" i="1"/>
  <c r="AT78" i="1"/>
  <c r="AU78" i="1"/>
  <c r="AU19" i="1"/>
  <c r="AS19" i="1"/>
  <c r="AT19" i="1"/>
  <c r="AS87" i="1"/>
  <c r="AT87" i="1"/>
  <c r="AU87" i="1"/>
  <c r="AS92" i="1"/>
  <c r="AT92" i="1"/>
  <c r="AU92" i="1"/>
  <c r="AT72" i="1"/>
  <c r="AS72" i="1"/>
  <c r="AU72" i="1"/>
  <c r="AS54" i="1"/>
  <c r="AU54" i="1"/>
  <c r="AT54" i="1"/>
  <c r="AT75" i="1"/>
  <c r="AU75" i="1"/>
  <c r="AS75" i="1"/>
  <c r="AU84" i="1"/>
  <c r="AS84" i="1"/>
  <c r="AT84" i="1"/>
  <c r="AS44" i="1"/>
  <c r="AT44" i="1"/>
  <c r="AU44" i="1"/>
  <c r="AS18" i="1"/>
  <c r="AT18" i="1"/>
  <c r="AU18" i="1"/>
  <c r="AS34" i="1"/>
  <c r="AT34" i="1"/>
  <c r="AU34" i="1"/>
  <c r="AT22" i="1"/>
  <c r="AU22" i="1"/>
  <c r="AS22" i="1"/>
  <c r="AU21" i="1"/>
  <c r="AS21" i="1"/>
  <c r="AT21" i="1"/>
  <c r="AS36" i="1"/>
  <c r="AT36" i="1"/>
  <c r="AU36" i="1"/>
  <c r="AS30" i="1"/>
  <c r="AU30" i="1"/>
  <c r="AT30" i="1"/>
  <c r="AU51" i="1"/>
  <c r="AT51" i="1"/>
  <c r="AS51" i="1"/>
  <c r="AT29" i="1"/>
  <c r="AU29" i="1"/>
  <c r="AS29" i="1"/>
  <c r="AU73" i="1"/>
  <c r="AS73" i="1"/>
  <c r="AT73" i="1"/>
  <c r="AS91" i="1"/>
  <c r="AT91" i="1"/>
  <c r="AU91" i="1"/>
  <c r="AS17" i="1"/>
  <c r="AU17" i="1"/>
  <c r="AT17" i="1"/>
  <c r="AT28" i="1"/>
  <c r="AS28" i="1"/>
  <c r="AU28" i="1"/>
  <c r="AS45" i="1"/>
  <c r="AT45" i="1"/>
  <c r="AU45" i="1"/>
  <c r="AU76" i="1"/>
  <c r="AT76" i="1"/>
  <c r="AS76" i="1"/>
  <c r="AS46" i="1"/>
  <c r="AU46" i="1"/>
  <c r="AT46" i="1"/>
  <c r="AT55" i="1"/>
  <c r="AU55" i="1"/>
  <c r="AS55" i="1"/>
  <c r="AS57" i="1"/>
  <c r="AT57" i="1"/>
  <c r="AU57" i="1"/>
  <c r="AS82" i="1"/>
  <c r="AT82" i="1"/>
  <c r="AU82" i="1"/>
  <c r="AU37" i="1"/>
  <c r="AT37" i="1"/>
  <c r="AS37" i="1"/>
  <c r="AU43" i="1"/>
  <c r="AS43" i="1"/>
  <c r="AT43" i="1"/>
  <c r="AS93" i="1"/>
  <c r="AT93" i="1"/>
  <c r="AU93" i="1"/>
  <c r="AX42" i="1"/>
  <c r="AX60" i="1"/>
  <c r="AX67" i="1"/>
  <c r="AX30" i="1"/>
  <c r="AX71" i="1"/>
  <c r="AX70" i="1"/>
  <c r="AX64" i="1"/>
  <c r="AX47" i="1"/>
  <c r="AX75" i="1"/>
  <c r="AX66" i="1"/>
  <c r="AX17" i="1"/>
  <c r="AX90" i="1"/>
  <c r="AX95" i="1"/>
  <c r="AX65" i="1"/>
  <c r="AX88" i="1"/>
  <c r="AX89" i="1"/>
  <c r="AX59" i="1"/>
  <c r="AX85" i="1"/>
  <c r="AX68" i="1"/>
  <c r="AX58" i="1"/>
  <c r="AX61" i="1"/>
  <c r="AX56" i="1"/>
  <c r="AX35" i="1"/>
  <c r="AX49" i="1"/>
  <c r="AX33" i="1"/>
  <c r="AX78" i="1"/>
  <c r="AX87" i="1"/>
  <c r="AX92" i="1"/>
  <c r="AX51" i="1"/>
  <c r="AX28" i="1"/>
  <c r="AX45" i="1"/>
  <c r="AX93" i="1"/>
  <c r="AV45" i="1" l="1"/>
  <c r="AV29" i="1"/>
  <c r="AV31" i="1"/>
  <c r="AV52" i="1"/>
  <c r="AV79" i="1"/>
  <c r="AV95" i="1"/>
  <c r="AV9" i="1"/>
  <c r="AV11" i="1"/>
  <c r="AV91" i="1"/>
  <c r="AV89" i="1"/>
  <c r="AV87" i="1"/>
  <c r="AV88" i="1"/>
  <c r="AV57" i="1"/>
  <c r="AV18" i="1"/>
  <c r="AV13" i="1"/>
  <c r="AV16" i="1"/>
  <c r="AV17" i="1"/>
  <c r="AV75" i="1"/>
  <c r="AV27" i="1"/>
  <c r="AV24" i="1"/>
  <c r="AV20" i="1"/>
  <c r="AV41" i="1"/>
  <c r="AV47" i="1"/>
  <c r="AV44" i="1"/>
  <c r="AV35" i="1"/>
  <c r="AV71" i="1"/>
  <c r="AV10" i="1"/>
  <c r="AV65" i="1"/>
  <c r="AV50" i="1"/>
  <c r="AV49" i="1"/>
  <c r="AV70" i="1"/>
  <c r="AV51" i="1"/>
  <c r="AV33" i="1"/>
  <c r="AV42" i="1"/>
  <c r="AV74" i="1"/>
  <c r="AV81" i="1"/>
  <c r="AV22" i="1"/>
  <c r="AV78" i="1"/>
  <c r="AV62" i="1"/>
  <c r="AV28" i="1"/>
  <c r="AV72" i="1"/>
  <c r="AV15" i="1"/>
  <c r="AV56" i="1"/>
  <c r="AV60" i="1"/>
  <c r="AV25" i="1"/>
  <c r="AV93" i="1"/>
  <c r="AV55" i="1"/>
  <c r="AV36" i="1"/>
  <c r="AV23" i="1"/>
  <c r="AV66" i="1"/>
  <c r="AV69" i="1"/>
  <c r="AV61" i="1"/>
  <c r="AV14" i="1"/>
  <c r="AV46" i="1"/>
  <c r="AV84" i="1"/>
  <c r="AV64" i="1"/>
  <c r="AV39" i="1"/>
  <c r="AV80" i="1"/>
  <c r="AV43" i="1"/>
  <c r="AV21" i="1"/>
  <c r="AV73" i="1"/>
  <c r="AV19" i="1"/>
  <c r="AV76" i="1"/>
  <c r="AV26" i="1"/>
  <c r="AV59" i="1"/>
  <c r="AV37" i="1"/>
  <c r="AV85" i="1"/>
  <c r="AV82" i="1"/>
  <c r="AV34" i="1"/>
  <c r="AV54" i="1"/>
  <c r="AV67" i="1"/>
  <c r="AV83" i="1"/>
  <c r="AV77" i="1"/>
  <c r="AV40" i="1"/>
  <c r="AV12" i="1"/>
  <c r="AV58" i="1"/>
  <c r="AV53" i="1"/>
  <c r="AV63" i="1"/>
  <c r="AV90" i="1"/>
  <c r="AV94" i="1"/>
  <c r="AV30" i="1"/>
  <c r="AV92" i="1"/>
  <c r="AV38" i="1"/>
  <c r="AV32" i="1"/>
  <c r="AV68" i="1"/>
  <c r="R96" i="1"/>
  <c r="P96" i="1"/>
  <c r="N96" i="1"/>
  <c r="L96" i="1"/>
  <c r="J96" i="1"/>
  <c r="H96" i="1"/>
  <c r="F96" i="1"/>
  <c r="AC95" i="1"/>
  <c r="AA95" i="1"/>
  <c r="Y95" i="1"/>
  <c r="W95" i="1"/>
  <c r="U95" i="1"/>
  <c r="S95" i="1"/>
  <c r="Q95" i="1"/>
  <c r="O95" i="1"/>
  <c r="M95" i="1"/>
  <c r="K95" i="1"/>
  <c r="I95" i="1"/>
  <c r="G95" i="1"/>
  <c r="AC93" i="1"/>
  <c r="AA93" i="1"/>
  <c r="Y93" i="1"/>
  <c r="W93" i="1"/>
  <c r="U93" i="1"/>
  <c r="S93" i="1"/>
  <c r="Q93" i="1"/>
  <c r="O93" i="1"/>
  <c r="M93" i="1"/>
  <c r="K93" i="1"/>
  <c r="I93" i="1"/>
  <c r="G93" i="1"/>
  <c r="AC92" i="1"/>
  <c r="AA92" i="1"/>
  <c r="Y92" i="1"/>
  <c r="W92" i="1"/>
  <c r="U92" i="1"/>
  <c r="S92" i="1"/>
  <c r="Q92" i="1"/>
  <c r="O92" i="1"/>
  <c r="M92" i="1"/>
  <c r="K92" i="1"/>
  <c r="I92" i="1"/>
  <c r="G92" i="1"/>
  <c r="AC91" i="1"/>
  <c r="AA91" i="1"/>
  <c r="Y91" i="1"/>
  <c r="W91" i="1"/>
  <c r="U91" i="1"/>
  <c r="S91" i="1"/>
  <c r="Q91" i="1"/>
  <c r="O91" i="1"/>
  <c r="M91" i="1"/>
  <c r="K91" i="1"/>
  <c r="I91" i="1"/>
  <c r="G91" i="1"/>
  <c r="AC90" i="1"/>
  <c r="AA90" i="1"/>
  <c r="Y90" i="1"/>
  <c r="W90" i="1"/>
  <c r="U90" i="1"/>
  <c r="S90" i="1"/>
  <c r="Q90" i="1"/>
  <c r="O90" i="1"/>
  <c r="M90" i="1"/>
  <c r="K90" i="1"/>
  <c r="I90" i="1"/>
  <c r="G90" i="1"/>
  <c r="AC89" i="1"/>
  <c r="AA89" i="1"/>
  <c r="Y89" i="1"/>
  <c r="W89" i="1"/>
  <c r="U89" i="1"/>
  <c r="S89" i="1"/>
  <c r="Q89" i="1"/>
  <c r="O89" i="1"/>
  <c r="M89" i="1"/>
  <c r="K89" i="1"/>
  <c r="I89" i="1"/>
  <c r="G89" i="1"/>
  <c r="AC88" i="1"/>
  <c r="AA88" i="1"/>
  <c r="Y88" i="1"/>
  <c r="W88" i="1"/>
  <c r="U88" i="1"/>
  <c r="S88" i="1"/>
  <c r="Q88" i="1"/>
  <c r="O88" i="1"/>
  <c r="M88" i="1"/>
  <c r="K88" i="1"/>
  <c r="I88" i="1"/>
  <c r="G88" i="1"/>
  <c r="AC87" i="1"/>
  <c r="AA87" i="1"/>
  <c r="Y87" i="1"/>
  <c r="W87" i="1"/>
  <c r="U87" i="1"/>
  <c r="S87" i="1"/>
  <c r="Q87" i="1"/>
  <c r="O87" i="1"/>
  <c r="M87" i="1"/>
  <c r="K87" i="1"/>
  <c r="I87" i="1"/>
  <c r="G87" i="1"/>
  <c r="AC85" i="1"/>
  <c r="AA85" i="1"/>
  <c r="Y85" i="1"/>
  <c r="W85" i="1"/>
  <c r="U85" i="1"/>
  <c r="S85" i="1"/>
  <c r="Q85" i="1"/>
  <c r="O85" i="1"/>
  <c r="M85" i="1"/>
  <c r="K85" i="1"/>
  <c r="I85" i="1"/>
  <c r="G85" i="1"/>
  <c r="AC84" i="1"/>
  <c r="AA84" i="1"/>
  <c r="Y84" i="1"/>
  <c r="W84" i="1"/>
  <c r="U84" i="1"/>
  <c r="S84" i="1"/>
  <c r="Q84" i="1"/>
  <c r="O84" i="1"/>
  <c r="M84" i="1"/>
  <c r="K84" i="1"/>
  <c r="I84" i="1"/>
  <c r="G84" i="1"/>
  <c r="AC83" i="1"/>
  <c r="AA83" i="1"/>
  <c r="Y83" i="1"/>
  <c r="W83" i="1"/>
  <c r="U83" i="1"/>
  <c r="S83" i="1"/>
  <c r="Q83" i="1"/>
  <c r="O83" i="1"/>
  <c r="M83" i="1"/>
  <c r="K83" i="1"/>
  <c r="I83" i="1"/>
  <c r="G83" i="1"/>
  <c r="E82" i="1"/>
  <c r="AX82" i="1" s="1"/>
  <c r="AC80" i="1"/>
  <c r="AA80" i="1"/>
  <c r="Y80" i="1"/>
  <c r="W80" i="1"/>
  <c r="U80" i="1"/>
  <c r="S80" i="1"/>
  <c r="Q80" i="1"/>
  <c r="O80" i="1"/>
  <c r="M80" i="1"/>
  <c r="K80" i="1"/>
  <c r="I80" i="1"/>
  <c r="G80" i="1"/>
  <c r="AC79" i="1"/>
  <c r="AA79" i="1"/>
  <c r="Y79" i="1"/>
  <c r="W79" i="1"/>
  <c r="U79" i="1"/>
  <c r="S79" i="1"/>
  <c r="Q79" i="1"/>
  <c r="O79" i="1"/>
  <c r="M79" i="1"/>
  <c r="K79" i="1"/>
  <c r="I79" i="1"/>
  <c r="G79" i="1"/>
  <c r="AC78" i="1"/>
  <c r="AA78" i="1"/>
  <c r="Y78" i="1"/>
  <c r="W78" i="1"/>
  <c r="U78" i="1"/>
  <c r="S78" i="1"/>
  <c r="Q78" i="1"/>
  <c r="O78" i="1"/>
  <c r="M78" i="1"/>
  <c r="K78" i="1"/>
  <c r="I78" i="1"/>
  <c r="G78" i="1"/>
  <c r="AC77" i="1"/>
  <c r="AA77" i="1"/>
  <c r="Y77" i="1"/>
  <c r="W77" i="1"/>
  <c r="U77" i="1"/>
  <c r="S77" i="1"/>
  <c r="Q77" i="1"/>
  <c r="O77" i="1"/>
  <c r="M77" i="1"/>
  <c r="K77" i="1"/>
  <c r="I77" i="1"/>
  <c r="G77" i="1"/>
  <c r="AC76" i="1"/>
  <c r="AA76" i="1"/>
  <c r="Y76" i="1"/>
  <c r="W76" i="1"/>
  <c r="U76" i="1"/>
  <c r="S76" i="1"/>
  <c r="Q76" i="1"/>
  <c r="O76" i="1"/>
  <c r="M76" i="1"/>
  <c r="K76" i="1"/>
  <c r="I76" i="1"/>
  <c r="G76" i="1"/>
  <c r="AC75" i="1"/>
  <c r="AA75" i="1"/>
  <c r="Y75" i="1"/>
  <c r="W75" i="1"/>
  <c r="U75" i="1"/>
  <c r="S75" i="1"/>
  <c r="Q75" i="1"/>
  <c r="O75" i="1"/>
  <c r="M75" i="1"/>
  <c r="K75" i="1"/>
  <c r="I75" i="1"/>
  <c r="G75" i="1"/>
  <c r="AC74" i="1"/>
  <c r="AA74" i="1"/>
  <c r="Y74" i="1"/>
  <c r="W74" i="1"/>
  <c r="U74" i="1"/>
  <c r="S74" i="1"/>
  <c r="Q74" i="1"/>
  <c r="O74" i="1"/>
  <c r="M74" i="1"/>
  <c r="K74" i="1"/>
  <c r="I74" i="1"/>
  <c r="G74" i="1"/>
  <c r="AX73" i="1"/>
  <c r="AC72" i="1"/>
  <c r="AA72" i="1"/>
  <c r="Y72" i="1"/>
  <c r="W72" i="1"/>
  <c r="U72" i="1"/>
  <c r="S72" i="1"/>
  <c r="Q72" i="1"/>
  <c r="O72" i="1"/>
  <c r="M72" i="1"/>
  <c r="K72" i="1"/>
  <c r="I72" i="1"/>
  <c r="G72" i="1"/>
  <c r="AC71" i="1"/>
  <c r="AA71" i="1"/>
  <c r="Y71" i="1"/>
  <c r="W71" i="1"/>
  <c r="U71" i="1"/>
  <c r="S71" i="1"/>
  <c r="Q71" i="1"/>
  <c r="O71" i="1"/>
  <c r="M71" i="1"/>
  <c r="K71" i="1"/>
  <c r="I71" i="1"/>
  <c r="G71" i="1"/>
  <c r="AC70" i="1"/>
  <c r="AA70" i="1"/>
  <c r="Y70" i="1"/>
  <c r="W70" i="1"/>
  <c r="U70" i="1"/>
  <c r="S70" i="1"/>
  <c r="Q70" i="1"/>
  <c r="O70" i="1"/>
  <c r="M70" i="1"/>
  <c r="K70" i="1"/>
  <c r="I70" i="1"/>
  <c r="G70" i="1"/>
  <c r="AC69" i="1"/>
  <c r="AA69" i="1"/>
  <c r="Y69" i="1"/>
  <c r="W69" i="1"/>
  <c r="U69" i="1"/>
  <c r="S69" i="1"/>
  <c r="Q69" i="1"/>
  <c r="O69" i="1"/>
  <c r="M69" i="1"/>
  <c r="K69" i="1"/>
  <c r="I69" i="1"/>
  <c r="G69" i="1"/>
  <c r="AC68" i="1"/>
  <c r="AA68" i="1"/>
  <c r="Y68" i="1"/>
  <c r="W68" i="1"/>
  <c r="U68" i="1"/>
  <c r="S68" i="1"/>
  <c r="Q68" i="1"/>
  <c r="O68" i="1"/>
  <c r="M68" i="1"/>
  <c r="K68" i="1"/>
  <c r="I68" i="1"/>
  <c r="G68" i="1"/>
  <c r="AC67" i="1"/>
  <c r="AA67" i="1"/>
  <c r="Y67" i="1"/>
  <c r="W67" i="1"/>
  <c r="U67" i="1"/>
  <c r="S67" i="1"/>
  <c r="Q67" i="1"/>
  <c r="O67" i="1"/>
  <c r="M67" i="1"/>
  <c r="K67" i="1"/>
  <c r="I67" i="1"/>
  <c r="G67" i="1"/>
  <c r="AC66" i="1"/>
  <c r="AA66" i="1"/>
  <c r="Y66" i="1"/>
  <c r="W66" i="1"/>
  <c r="U66" i="1"/>
  <c r="S66" i="1"/>
  <c r="Q66" i="1"/>
  <c r="O66" i="1"/>
  <c r="M66" i="1"/>
  <c r="K66" i="1"/>
  <c r="I66" i="1"/>
  <c r="G66" i="1"/>
  <c r="AC65" i="1"/>
  <c r="AA65" i="1"/>
  <c r="Y65" i="1"/>
  <c r="W65" i="1"/>
  <c r="U65" i="1"/>
  <c r="S65" i="1"/>
  <c r="Q65" i="1"/>
  <c r="O65" i="1"/>
  <c r="M65" i="1"/>
  <c r="K65" i="1"/>
  <c r="I65" i="1"/>
  <c r="G65" i="1"/>
  <c r="AC64" i="1"/>
  <c r="AA64" i="1"/>
  <c r="Y64" i="1"/>
  <c r="W64" i="1"/>
  <c r="U64" i="1"/>
  <c r="S64" i="1"/>
  <c r="Q64" i="1"/>
  <c r="O64" i="1"/>
  <c r="M64" i="1"/>
  <c r="K64" i="1"/>
  <c r="I64" i="1"/>
  <c r="G64" i="1"/>
  <c r="AC63" i="1"/>
  <c r="AA63" i="1"/>
  <c r="Y63" i="1"/>
  <c r="W63" i="1"/>
  <c r="U63" i="1"/>
  <c r="S63" i="1"/>
  <c r="Q63" i="1"/>
  <c r="O63" i="1"/>
  <c r="M63" i="1"/>
  <c r="K63" i="1"/>
  <c r="I63" i="1"/>
  <c r="G63" i="1"/>
  <c r="AC62" i="1"/>
  <c r="AA62" i="1"/>
  <c r="Y62" i="1"/>
  <c r="W62" i="1"/>
  <c r="U62" i="1"/>
  <c r="S62" i="1"/>
  <c r="Q62" i="1"/>
  <c r="O62" i="1"/>
  <c r="M62" i="1"/>
  <c r="K62" i="1"/>
  <c r="I62" i="1"/>
  <c r="G62" i="1"/>
  <c r="AC61" i="1"/>
  <c r="AA61" i="1"/>
  <c r="Y61" i="1"/>
  <c r="W61" i="1"/>
  <c r="U61" i="1"/>
  <c r="S61" i="1"/>
  <c r="Q61" i="1"/>
  <c r="O61" i="1"/>
  <c r="M61" i="1"/>
  <c r="K61" i="1"/>
  <c r="I61" i="1"/>
  <c r="G61" i="1"/>
  <c r="AC60" i="1"/>
  <c r="AA60" i="1"/>
  <c r="Y60" i="1"/>
  <c r="W60" i="1"/>
  <c r="U60" i="1"/>
  <c r="S60" i="1"/>
  <c r="Q60" i="1"/>
  <c r="O60" i="1"/>
  <c r="M60" i="1"/>
  <c r="K60" i="1"/>
  <c r="I60" i="1"/>
  <c r="G60" i="1"/>
  <c r="AC59" i="1"/>
  <c r="AA59" i="1"/>
  <c r="Y59" i="1"/>
  <c r="W59" i="1"/>
  <c r="U59" i="1"/>
  <c r="S59" i="1"/>
  <c r="Q59" i="1"/>
  <c r="O59" i="1"/>
  <c r="M59" i="1"/>
  <c r="K59" i="1"/>
  <c r="I59" i="1"/>
  <c r="G59" i="1"/>
  <c r="AC58" i="1"/>
  <c r="AA58" i="1"/>
  <c r="Y58" i="1"/>
  <c r="W58" i="1"/>
  <c r="U58" i="1"/>
  <c r="S58" i="1"/>
  <c r="Q58" i="1"/>
  <c r="O58" i="1"/>
  <c r="M58" i="1"/>
  <c r="K58" i="1"/>
  <c r="I58" i="1"/>
  <c r="G58" i="1"/>
  <c r="AC57" i="1"/>
  <c r="AA57" i="1"/>
  <c r="Y57" i="1"/>
  <c r="W57" i="1"/>
  <c r="U57" i="1"/>
  <c r="S57" i="1"/>
  <c r="Q57" i="1"/>
  <c r="O57" i="1"/>
  <c r="M57" i="1"/>
  <c r="K57" i="1"/>
  <c r="I57" i="1"/>
  <c r="G57" i="1"/>
  <c r="AC56" i="1"/>
  <c r="AA56" i="1"/>
  <c r="Y56" i="1"/>
  <c r="W56" i="1"/>
  <c r="U56" i="1"/>
  <c r="S56" i="1"/>
  <c r="Q56" i="1"/>
  <c r="O56" i="1"/>
  <c r="M56" i="1"/>
  <c r="K56" i="1"/>
  <c r="I56" i="1"/>
  <c r="G56" i="1"/>
  <c r="AC55" i="1"/>
  <c r="AA55" i="1"/>
  <c r="Y55" i="1"/>
  <c r="W55" i="1"/>
  <c r="U55" i="1"/>
  <c r="S55" i="1"/>
  <c r="Q55" i="1"/>
  <c r="O55" i="1"/>
  <c r="M55" i="1"/>
  <c r="K55" i="1"/>
  <c r="I55" i="1"/>
  <c r="G55" i="1"/>
  <c r="E54" i="1"/>
  <c r="E53" i="1"/>
  <c r="AC52" i="1"/>
  <c r="AA52" i="1"/>
  <c r="Y52" i="1"/>
  <c r="W52" i="1"/>
  <c r="U52" i="1"/>
  <c r="S52" i="1"/>
  <c r="Q52" i="1"/>
  <c r="O52" i="1"/>
  <c r="M52" i="1"/>
  <c r="K52" i="1"/>
  <c r="I52" i="1"/>
  <c r="G52" i="1"/>
  <c r="AC51" i="1"/>
  <c r="AA51" i="1"/>
  <c r="Y51" i="1"/>
  <c r="W51" i="1"/>
  <c r="U51" i="1"/>
  <c r="S51" i="1"/>
  <c r="Q51" i="1"/>
  <c r="O51" i="1"/>
  <c r="M51" i="1"/>
  <c r="K51" i="1"/>
  <c r="I51" i="1"/>
  <c r="G51" i="1"/>
  <c r="AC50" i="1"/>
  <c r="AA50" i="1"/>
  <c r="Y50" i="1"/>
  <c r="W50" i="1"/>
  <c r="U50" i="1"/>
  <c r="S50" i="1"/>
  <c r="Q50" i="1"/>
  <c r="O50" i="1"/>
  <c r="M50" i="1"/>
  <c r="K50" i="1"/>
  <c r="I50" i="1"/>
  <c r="G50" i="1"/>
  <c r="AC49" i="1"/>
  <c r="AA49" i="1"/>
  <c r="Y49" i="1"/>
  <c r="W49" i="1"/>
  <c r="U49" i="1"/>
  <c r="S49" i="1"/>
  <c r="Q49" i="1"/>
  <c r="O49" i="1"/>
  <c r="M49" i="1"/>
  <c r="K49" i="1"/>
  <c r="I49" i="1"/>
  <c r="G49" i="1"/>
  <c r="AC47" i="1"/>
  <c r="AA47" i="1"/>
  <c r="Y47" i="1"/>
  <c r="W47" i="1"/>
  <c r="U47" i="1"/>
  <c r="S47" i="1"/>
  <c r="Q47" i="1"/>
  <c r="O47" i="1"/>
  <c r="M47" i="1"/>
  <c r="K47" i="1"/>
  <c r="I47" i="1"/>
  <c r="G47" i="1"/>
  <c r="AC46" i="1"/>
  <c r="AA46" i="1"/>
  <c r="Y46" i="1"/>
  <c r="W46" i="1"/>
  <c r="U46" i="1"/>
  <c r="S46" i="1"/>
  <c r="Q46" i="1"/>
  <c r="O46" i="1"/>
  <c r="M46" i="1"/>
  <c r="K46" i="1"/>
  <c r="I46" i="1"/>
  <c r="G46" i="1"/>
  <c r="AC45" i="1"/>
  <c r="AA45" i="1"/>
  <c r="Y45" i="1"/>
  <c r="W45" i="1"/>
  <c r="U45" i="1"/>
  <c r="S45" i="1"/>
  <c r="Q45" i="1"/>
  <c r="O45" i="1"/>
  <c r="M45" i="1"/>
  <c r="K45" i="1"/>
  <c r="I45" i="1"/>
  <c r="G45" i="1"/>
  <c r="AC44" i="1"/>
  <c r="AA44" i="1"/>
  <c r="Y44" i="1"/>
  <c r="W44" i="1"/>
  <c r="U44" i="1"/>
  <c r="S44" i="1"/>
  <c r="Q44" i="1"/>
  <c r="O44" i="1"/>
  <c r="M44" i="1"/>
  <c r="K44" i="1"/>
  <c r="I44" i="1"/>
  <c r="G44" i="1"/>
  <c r="AC43" i="1"/>
  <c r="AA43" i="1"/>
  <c r="Y43" i="1"/>
  <c r="W43" i="1"/>
  <c r="U43" i="1"/>
  <c r="S43" i="1"/>
  <c r="Q43" i="1"/>
  <c r="O43" i="1"/>
  <c r="M43" i="1"/>
  <c r="K43" i="1"/>
  <c r="I43" i="1"/>
  <c r="G43" i="1"/>
  <c r="AC42" i="1"/>
  <c r="AA42" i="1"/>
  <c r="Y42" i="1"/>
  <c r="W42" i="1"/>
  <c r="U42" i="1"/>
  <c r="S42" i="1"/>
  <c r="Q42" i="1"/>
  <c r="O42" i="1"/>
  <c r="M42" i="1"/>
  <c r="K42" i="1"/>
  <c r="I42" i="1"/>
  <c r="G42" i="1"/>
  <c r="AC41" i="1"/>
  <c r="AA41" i="1"/>
  <c r="Y41" i="1"/>
  <c r="W41" i="1"/>
  <c r="U41" i="1"/>
  <c r="S41" i="1"/>
  <c r="Q41" i="1"/>
  <c r="O41" i="1"/>
  <c r="M41" i="1"/>
  <c r="K41" i="1"/>
  <c r="I41" i="1"/>
  <c r="G41" i="1"/>
  <c r="AC40" i="1"/>
  <c r="AA40" i="1"/>
  <c r="Y40" i="1"/>
  <c r="W40" i="1"/>
  <c r="U40" i="1"/>
  <c r="S40" i="1"/>
  <c r="Q40" i="1"/>
  <c r="O40" i="1"/>
  <c r="M40" i="1"/>
  <c r="K40" i="1"/>
  <c r="I40" i="1"/>
  <c r="G40" i="1"/>
  <c r="AC39" i="1"/>
  <c r="AA39" i="1"/>
  <c r="Y39" i="1"/>
  <c r="W39" i="1"/>
  <c r="U39" i="1"/>
  <c r="S39" i="1"/>
  <c r="Q39" i="1"/>
  <c r="O39" i="1"/>
  <c r="M39" i="1"/>
  <c r="K39" i="1"/>
  <c r="I39" i="1"/>
  <c r="G39" i="1"/>
  <c r="AC38" i="1"/>
  <c r="AA38" i="1"/>
  <c r="Y38" i="1"/>
  <c r="W38" i="1"/>
  <c r="U38" i="1"/>
  <c r="S38" i="1"/>
  <c r="Q38" i="1"/>
  <c r="O38" i="1"/>
  <c r="M38" i="1"/>
  <c r="K38" i="1"/>
  <c r="I38" i="1"/>
  <c r="G38" i="1"/>
  <c r="AC37" i="1"/>
  <c r="AA37" i="1"/>
  <c r="Y37" i="1"/>
  <c r="W37" i="1"/>
  <c r="U37" i="1"/>
  <c r="S37" i="1"/>
  <c r="Q37" i="1"/>
  <c r="O37" i="1"/>
  <c r="M37" i="1"/>
  <c r="K37" i="1"/>
  <c r="I37" i="1"/>
  <c r="G37" i="1"/>
  <c r="AC36" i="1"/>
  <c r="AA36" i="1"/>
  <c r="Y36" i="1"/>
  <c r="W36" i="1"/>
  <c r="U36" i="1"/>
  <c r="S36" i="1"/>
  <c r="Q36" i="1"/>
  <c r="O36" i="1"/>
  <c r="M36" i="1"/>
  <c r="K36" i="1"/>
  <c r="I36" i="1"/>
  <c r="G36" i="1"/>
  <c r="AC35" i="1"/>
  <c r="AA35" i="1"/>
  <c r="Y35" i="1"/>
  <c r="W35" i="1"/>
  <c r="U35" i="1"/>
  <c r="S35" i="1"/>
  <c r="Q35" i="1"/>
  <c r="O35" i="1"/>
  <c r="M35" i="1"/>
  <c r="K35" i="1"/>
  <c r="I35" i="1"/>
  <c r="G35" i="1"/>
  <c r="AC33" i="1"/>
  <c r="AA33" i="1"/>
  <c r="Y33" i="1"/>
  <c r="W33" i="1"/>
  <c r="U33" i="1"/>
  <c r="S33" i="1"/>
  <c r="Q33" i="1"/>
  <c r="O33" i="1"/>
  <c r="M33" i="1"/>
  <c r="K33" i="1"/>
  <c r="I33" i="1"/>
  <c r="G33" i="1"/>
  <c r="AC32" i="1"/>
  <c r="AA32" i="1"/>
  <c r="Y32" i="1"/>
  <c r="W32" i="1"/>
  <c r="U32" i="1"/>
  <c r="S32" i="1"/>
  <c r="Q32" i="1"/>
  <c r="O32" i="1"/>
  <c r="M32" i="1"/>
  <c r="K32" i="1"/>
  <c r="I32" i="1"/>
  <c r="G32" i="1"/>
  <c r="AC30" i="1"/>
  <c r="AA30" i="1"/>
  <c r="Y30" i="1"/>
  <c r="W30" i="1"/>
  <c r="U30" i="1"/>
  <c r="S30" i="1"/>
  <c r="Q30" i="1"/>
  <c r="O30" i="1"/>
  <c r="M30" i="1"/>
  <c r="K30" i="1"/>
  <c r="I30" i="1"/>
  <c r="G30" i="1"/>
  <c r="AC28" i="1"/>
  <c r="AA28" i="1"/>
  <c r="Y28" i="1"/>
  <c r="W28" i="1"/>
  <c r="U28" i="1"/>
  <c r="S28" i="1"/>
  <c r="Q28" i="1"/>
  <c r="O28" i="1"/>
  <c r="M28" i="1"/>
  <c r="K28" i="1"/>
  <c r="I28" i="1"/>
  <c r="G28" i="1"/>
  <c r="E26" i="1"/>
  <c r="AX25" i="1"/>
  <c r="AC23" i="1"/>
  <c r="AA23" i="1"/>
  <c r="Y23" i="1"/>
  <c r="W23" i="1"/>
  <c r="U23" i="1"/>
  <c r="S23" i="1"/>
  <c r="Q23" i="1"/>
  <c r="O23" i="1"/>
  <c r="M23" i="1"/>
  <c r="K23" i="1"/>
  <c r="I23" i="1"/>
  <c r="G23" i="1"/>
  <c r="AC22" i="1"/>
  <c r="AA22" i="1"/>
  <c r="Y22" i="1"/>
  <c r="W22" i="1"/>
  <c r="U22" i="1"/>
  <c r="S22" i="1"/>
  <c r="Q22" i="1"/>
  <c r="O22" i="1"/>
  <c r="M22" i="1"/>
  <c r="K22" i="1"/>
  <c r="I22" i="1"/>
  <c r="G22" i="1"/>
  <c r="E21" i="1"/>
  <c r="AX21" i="1" s="1"/>
  <c r="E20" i="1"/>
  <c r="E19" i="1"/>
  <c r="AC18" i="1"/>
  <c r="AA18" i="1"/>
  <c r="Y18" i="1"/>
  <c r="W18" i="1"/>
  <c r="U18" i="1"/>
  <c r="S18" i="1"/>
  <c r="Q18" i="1"/>
  <c r="O18" i="1"/>
  <c r="M18" i="1"/>
  <c r="K18" i="1"/>
  <c r="I18" i="1"/>
  <c r="G18" i="1"/>
  <c r="AC17" i="1"/>
  <c r="AA17" i="1"/>
  <c r="Y17" i="1"/>
  <c r="W17" i="1"/>
  <c r="U17" i="1"/>
  <c r="S17" i="1"/>
  <c r="Q17" i="1"/>
  <c r="O17" i="1"/>
  <c r="M17" i="1"/>
  <c r="K17" i="1"/>
  <c r="G17" i="1"/>
  <c r="AC16" i="1"/>
  <c r="AA16" i="1"/>
  <c r="Y16" i="1"/>
  <c r="W16" i="1"/>
  <c r="U16" i="1"/>
  <c r="S16" i="1"/>
  <c r="Q16" i="1"/>
  <c r="O16" i="1"/>
  <c r="M16" i="1"/>
  <c r="K16" i="1"/>
  <c r="I16" i="1"/>
  <c r="G16" i="1"/>
  <c r="AC13" i="1"/>
  <c r="AA13" i="1"/>
  <c r="Y13" i="1"/>
  <c r="W13" i="1"/>
  <c r="U13" i="1"/>
  <c r="S13" i="1"/>
  <c r="Q13" i="1"/>
  <c r="O13" i="1"/>
  <c r="M13" i="1"/>
  <c r="K13" i="1"/>
  <c r="I13" i="1"/>
  <c r="G13" i="1"/>
  <c r="E12" i="1"/>
  <c r="E11" i="1"/>
  <c r="AX11" i="1" s="1"/>
  <c r="E10" i="1"/>
  <c r="E9" i="1"/>
  <c r="E8" i="1"/>
  <c r="U8" i="1" s="1"/>
  <c r="AP4" i="1"/>
  <c r="AO4" i="1"/>
  <c r="AN4" i="1"/>
  <c r="AM4" i="1"/>
  <c r="AL4" i="1"/>
  <c r="AK4" i="1"/>
  <c r="AJ4" i="1"/>
  <c r="G81" i="1" l="1"/>
  <c r="AX81" i="1"/>
  <c r="Q26" i="1"/>
  <c r="AX26" i="1"/>
  <c r="S19" i="1"/>
  <c r="AX19" i="1"/>
  <c r="I27" i="1"/>
  <c r="AX27" i="1"/>
  <c r="U53" i="1"/>
  <c r="AX53" i="1"/>
  <c r="AA94" i="1"/>
  <c r="AX94" i="1"/>
  <c r="U12" i="1"/>
  <c r="AX12" i="1"/>
  <c r="U31" i="1"/>
  <c r="AX31" i="1"/>
  <c r="AA34" i="1"/>
  <c r="AX34" i="1"/>
  <c r="AA9" i="1"/>
  <c r="AX9" i="1"/>
  <c r="AC14" i="1"/>
  <c r="AX14" i="1"/>
  <c r="Q54" i="1"/>
  <c r="AX54" i="1"/>
  <c r="Y20" i="1"/>
  <c r="AX20" i="1"/>
  <c r="U10" i="1"/>
  <c r="AX10" i="1"/>
  <c r="U15" i="1"/>
  <c r="AX15" i="1"/>
  <c r="W24" i="1"/>
  <c r="AX24" i="1"/>
  <c r="U29" i="1"/>
  <c r="AX29" i="1"/>
  <c r="AC94" i="1"/>
  <c r="K27" i="1"/>
  <c r="G53" i="1"/>
  <c r="Y53" i="1"/>
  <c r="O54" i="1"/>
  <c r="AA10" i="1"/>
  <c r="U27" i="1"/>
  <c r="W31" i="1"/>
  <c r="I53" i="1"/>
  <c r="Q31" i="1"/>
  <c r="S31" i="1"/>
  <c r="O27" i="1"/>
  <c r="S53" i="1"/>
  <c r="O10" i="1"/>
  <c r="S10" i="1"/>
  <c r="I31" i="1"/>
  <c r="K19" i="1"/>
  <c r="AC19" i="1"/>
  <c r="G54" i="1"/>
  <c r="AA8" i="1"/>
  <c r="M12" i="1"/>
  <c r="AC15" i="1"/>
  <c r="I19" i="1"/>
  <c r="M54" i="1"/>
  <c r="O12" i="1"/>
  <c r="S12" i="1"/>
  <c r="Y12" i="1"/>
  <c r="M27" i="1"/>
  <c r="AA12" i="1"/>
  <c r="S20" i="1"/>
  <c r="Q53" i="1"/>
  <c r="U9" i="1"/>
  <c r="Q11" i="1"/>
  <c r="M26" i="1"/>
  <c r="K31" i="1"/>
  <c r="W53" i="1"/>
  <c r="Q27" i="1"/>
  <c r="AA53" i="1"/>
  <c r="G94" i="1"/>
  <c r="O11" i="1"/>
  <c r="W9" i="1"/>
  <c r="S11" i="1"/>
  <c r="W11" i="1"/>
  <c r="Y9" i="1"/>
  <c r="U11" i="1"/>
  <c r="O26" i="1"/>
  <c r="O31" i="1"/>
  <c r="O94" i="1"/>
  <c r="U26" i="1"/>
  <c r="AA26" i="1"/>
  <c r="AC26" i="1"/>
  <c r="Q94" i="1"/>
  <c r="S26" i="1"/>
  <c r="W8" i="1"/>
  <c r="W10" i="1"/>
  <c r="W15" i="1"/>
  <c r="Y19" i="1"/>
  <c r="AA31" i="1"/>
  <c r="K53" i="1"/>
  <c r="Y8" i="1"/>
  <c r="Y10" i="1"/>
  <c r="AA15" i="1"/>
  <c r="AA19" i="1"/>
  <c r="AC31" i="1"/>
  <c r="M53" i="1"/>
  <c r="Y94" i="1"/>
  <c r="Y11" i="1"/>
  <c r="AA14" i="1"/>
  <c r="K24" i="1"/>
  <c r="AA25" i="1"/>
  <c r="I8" i="1"/>
  <c r="G10" i="1"/>
  <c r="W12" i="1"/>
  <c r="M24" i="1"/>
  <c r="Y26" i="1"/>
  <c r="S27" i="1"/>
  <c r="K34" i="1"/>
  <c r="AC53" i="1"/>
  <c r="S94" i="1"/>
  <c r="U94" i="1"/>
  <c r="AC8" i="1"/>
  <c r="AC10" i="1"/>
  <c r="I29" i="1"/>
  <c r="I24" i="1"/>
  <c r="Y25" i="1"/>
  <c r="K29" i="1"/>
  <c r="O29" i="1"/>
  <c r="Q34" i="1"/>
  <c r="G12" i="1"/>
  <c r="M19" i="1"/>
  <c r="AA20" i="1"/>
  <c r="U24" i="1"/>
  <c r="G26" i="1"/>
  <c r="W29" i="1"/>
  <c r="M31" i="1"/>
  <c r="W34" i="1"/>
  <c r="AC12" i="1"/>
  <c r="O9" i="1"/>
  <c r="K11" i="1"/>
  <c r="AC29" i="1"/>
  <c r="Y34" i="1"/>
  <c r="K8" i="1"/>
  <c r="Q29" i="1"/>
  <c r="K10" i="1"/>
  <c r="W20" i="1"/>
  <c r="Q24" i="1"/>
  <c r="S29" i="1"/>
  <c r="O8" i="1"/>
  <c r="Q9" i="1"/>
  <c r="I12" i="1"/>
  <c r="S15" i="1"/>
  <c r="I26" i="1"/>
  <c r="AC34" i="1"/>
  <c r="G8" i="1"/>
  <c r="M34" i="1"/>
  <c r="M8" i="1"/>
  <c r="I10" i="1"/>
  <c r="M10" i="1"/>
  <c r="G11" i="1"/>
  <c r="S24" i="1"/>
  <c r="S8" i="1"/>
  <c r="K12" i="1"/>
  <c r="W19" i="1"/>
  <c r="K26" i="1"/>
  <c r="W14" i="1"/>
  <c r="U14" i="1"/>
  <c r="S14" i="1"/>
  <c r="Q14" i="1"/>
  <c r="M14" i="1"/>
  <c r="K14" i="1"/>
  <c r="I14" i="1"/>
  <c r="G14" i="1"/>
  <c r="Y14" i="1"/>
  <c r="I73" i="1"/>
  <c r="AC73" i="1"/>
  <c r="AA73" i="1"/>
  <c r="G73" i="1"/>
  <c r="Y73" i="1"/>
  <c r="Q73" i="1"/>
  <c r="M73" i="1"/>
  <c r="W73" i="1"/>
  <c r="U73" i="1"/>
  <c r="S73" i="1"/>
  <c r="O73" i="1"/>
  <c r="K73" i="1"/>
  <c r="M15" i="1"/>
  <c r="K15" i="1"/>
  <c r="I15" i="1"/>
  <c r="G15" i="1"/>
  <c r="Y15" i="1"/>
  <c r="Y21" i="1"/>
  <c r="AC21" i="1"/>
  <c r="G21" i="1"/>
  <c r="AA21" i="1"/>
  <c r="W21" i="1"/>
  <c r="S21" i="1"/>
  <c r="U21" i="1"/>
  <c r="Q21" i="1"/>
  <c r="O21" i="1"/>
  <c r="I21" i="1"/>
  <c r="M20" i="1"/>
  <c r="K20" i="1"/>
  <c r="I20" i="1"/>
  <c r="U20" i="1"/>
  <c r="Q20" i="1"/>
  <c r="O20" i="1"/>
  <c r="G20" i="1"/>
  <c r="AC20" i="1"/>
  <c r="K21" i="1"/>
  <c r="O15" i="1"/>
  <c r="O14" i="1"/>
  <c r="Q15" i="1"/>
  <c r="M21" i="1"/>
  <c r="I25" i="1"/>
  <c r="W25" i="1"/>
  <c r="U25" i="1"/>
  <c r="S25" i="1"/>
  <c r="Q25" i="1"/>
  <c r="O25" i="1"/>
  <c r="K25" i="1"/>
  <c r="G25" i="1"/>
  <c r="M25" i="1"/>
  <c r="AC25" i="1"/>
  <c r="S9" i="1"/>
  <c r="K54" i="1"/>
  <c r="I54" i="1"/>
  <c r="Y54" i="1"/>
  <c r="W54" i="1"/>
  <c r="U54" i="1"/>
  <c r="AC54" i="1"/>
  <c r="AA54" i="1"/>
  <c r="S54" i="1"/>
  <c r="AC82" i="1"/>
  <c r="AA82" i="1"/>
  <c r="G82" i="1"/>
  <c r="Y82" i="1"/>
  <c r="W82" i="1"/>
  <c r="O82" i="1"/>
  <c r="U82" i="1"/>
  <c r="S82" i="1"/>
  <c r="Q82" i="1"/>
  <c r="K82" i="1"/>
  <c r="M82" i="1"/>
  <c r="I82" i="1"/>
  <c r="M9" i="1"/>
  <c r="I9" i="1"/>
  <c r="AC9" i="1"/>
  <c r="U19" i="1"/>
  <c r="Q19" i="1"/>
  <c r="O19" i="1"/>
  <c r="G9" i="1"/>
  <c r="M11" i="1"/>
  <c r="I11" i="1"/>
  <c r="AA11" i="1"/>
  <c r="G19" i="1"/>
  <c r="K9" i="1"/>
  <c r="AC11" i="1"/>
  <c r="O24" i="1"/>
  <c r="AC24" i="1"/>
  <c r="G24" i="1"/>
  <c r="AA24" i="1"/>
  <c r="Y24" i="1"/>
  <c r="S34" i="1"/>
  <c r="O34" i="1"/>
  <c r="U34" i="1"/>
  <c r="I34" i="1"/>
  <c r="G34" i="1"/>
  <c r="O81" i="1"/>
  <c r="W81" i="1"/>
  <c r="U81" i="1"/>
  <c r="S81" i="1"/>
  <c r="Q81" i="1"/>
  <c r="M81" i="1"/>
  <c r="AC81" i="1"/>
  <c r="AA81" i="1"/>
  <c r="Y81" i="1"/>
  <c r="K81" i="1"/>
  <c r="I81" i="1"/>
  <c r="W26" i="1"/>
  <c r="AA29" i="1"/>
  <c r="G29" i="1"/>
  <c r="Y29" i="1"/>
  <c r="W27" i="1"/>
  <c r="Y27" i="1"/>
  <c r="M29" i="1"/>
  <c r="Y31" i="1"/>
  <c r="Q8" i="1"/>
  <c r="Q10" i="1"/>
  <c r="Q12" i="1"/>
  <c r="AA27" i="1"/>
  <c r="G27" i="1"/>
  <c r="AC27" i="1"/>
  <c r="G31" i="1"/>
  <c r="M94" i="1"/>
  <c r="K94" i="1"/>
  <c r="I94" i="1"/>
  <c r="W94" i="1"/>
  <c r="O53" i="1"/>
  <c r="AC96" i="1" l="1"/>
  <c r="I96" i="1"/>
  <c r="M96" i="1"/>
  <c r="S96" i="1"/>
  <c r="K96" i="1"/>
  <c r="O96" i="1"/>
  <c r="G96" i="1"/>
  <c r="AA96" i="1"/>
  <c r="U96" i="1"/>
  <c r="Y96" i="1"/>
  <c r="W96" i="1"/>
  <c r="AM8" i="1"/>
  <c r="AL8" i="1"/>
  <c r="AJ8" i="1"/>
  <c r="AO8" i="1"/>
  <c r="AK8" i="1"/>
  <c r="AN8" i="1"/>
  <c r="AP8" i="1"/>
  <c r="Q96" i="1"/>
  <c r="AS8" i="1" l="1"/>
  <c r="AW8" i="1"/>
  <c r="AT8" i="1"/>
  <c r="AU8" i="1"/>
  <c r="AV8" i="1" l="1"/>
  <c r="AW96" i="1"/>
  <c r="AX8" i="1"/>
  <c r="AX96" i="1" s="1"/>
</calcChain>
</file>

<file path=xl/sharedStrings.xml><?xml version="1.0" encoding="utf-8"?>
<sst xmlns="http://schemas.openxmlformats.org/spreadsheetml/2006/main" count="455" uniqueCount="242">
  <si>
    <t>SECRETARIA DE GOBIERNO                                                                                                                                                                                                                                                                                                                                                                                              ALCALDIA LOCAL DE CHAPINERO</t>
  </si>
  <si>
    <t xml:space="preserve">ANALISIS ESTUDIO DE MERCADO </t>
  </si>
  <si>
    <t>Estudio de Mercado cuyo objeto es: "PRESTAR LOS SERVICIOS PARA LA IMPLEMENTACIÓN DE UN PROYECTO INTEGRAL DE CONVIVENCIA CIUDADANA EN LA LOCALIDAD DE CHAPINERO, ORIENTADO AL FORTALECIMIENTO DE CAPACIDADES CIUDADANAS Y COMUNITARIAS PARA LA APROPIACIÓN DEL CÓDIGO NACIONAL DE SEGURIDAD Y CONVIVENCIA CIUDADANA Y AL FORTALECIMIENTO DE ACTORES COMUNITARIOS JUVENILES PARA LA PREVENCIÓN Y NO NORMALIZACIÓN DEL ACOSO SEXUAL EN EL ESPACIO PÚBLICO, MEDIANTE LA METODOLOGÍA “BOGOTANEIDAD LOCAL 2026”</t>
  </si>
  <si>
    <t>PROVEEDOR 1</t>
  </si>
  <si>
    <t>PROVEEDOR 2</t>
  </si>
  <si>
    <t>PROVEEDOR 3</t>
  </si>
  <si>
    <t>PROVEEDOR 4</t>
  </si>
  <si>
    <t>PROVEEDOR 5</t>
  </si>
  <si>
    <t>PROVEEDOR 6</t>
  </si>
  <si>
    <t>PROVEEDOR 7</t>
  </si>
  <si>
    <t>PROVEEDOR 8</t>
  </si>
  <si>
    <t>PROVEEDOR 9</t>
  </si>
  <si>
    <t>PROVEEDOR 10</t>
  </si>
  <si>
    <t>PROVEEDOR 11</t>
  </si>
  <si>
    <t>PROVEEDOR 12</t>
  </si>
  <si>
    <t>MEDIANA</t>
  </si>
  <si>
    <t>PROMEDIO</t>
  </si>
  <si>
    <t>DESVIACIÓN</t>
  </si>
  <si>
    <t>DISPERSIÓN</t>
  </si>
  <si>
    <t>TECHO O TUNEL ALTO</t>
  </si>
  <si>
    <t>PISO TUNEL BAJO</t>
  </si>
  <si>
    <t xml:space="preserve">PRECIO REFERENCIA PARA CONTRATAR
VALOR UNITARIO
INCLUYE IVA </t>
  </si>
  <si>
    <t xml:space="preserve">PRECIO REFERENCIA PARA CONTRATAR
VALOR TOTAL
INCLUYE IVA  </t>
  </si>
  <si>
    <t>ADMIPENSIONES S.A.S</t>
  </si>
  <si>
    <t>CORPORACIÓN COLOMBIANA DE AGRICULTURA URBANA Y CONSERVACIÓN DEL AMBIENTE CORAMBIENTAL</t>
  </si>
  <si>
    <t>LFA GROUP SAS</t>
  </si>
  <si>
    <t>CREATIVO DESIGN</t>
  </si>
  <si>
    <t xml:space="preserve">SAP PUBLICIDAD SAS  </t>
  </si>
  <si>
    <t>"Nombre empresa"</t>
  </si>
  <si>
    <t>901937490-6</t>
  </si>
  <si>
    <t>830071862-7</t>
  </si>
  <si>
    <t>901666528-3</t>
  </si>
  <si>
    <t>902003549-2</t>
  </si>
  <si>
    <t>"NIT EMPRESA"</t>
  </si>
  <si>
    <t>ITEM</t>
  </si>
  <si>
    <t>SERVICIO</t>
  </si>
  <si>
    <t xml:space="preserve">DESCRIPCIÓN </t>
  </si>
  <si>
    <t xml:space="preserve">UNIDAD DE MEDIDA </t>
  </si>
  <si>
    <t>CANTIDAD</t>
  </si>
  <si>
    <t xml:space="preserve">VALOR UNITARIO IVA INCLUIDO </t>
  </si>
  <si>
    <t xml:space="preserve">VALOR TOTAL </t>
  </si>
  <si>
    <t>KIT DE PAPELERÍA INDIVIDUAL</t>
  </si>
  <si>
    <t>Kit individual por participante: (1) esfero tinta negra o azul punta 0.7–1 mm; (2) lápiz grafito HB madera 17–19 cm; (3) borrador goma blanca tipo escolar 4×2×1 cm; (4) hoja blanca carta papel bond mínimo 75 g. Embalado en bolsa individual. * No se aceptan kits incompletos. 1 kit × 40 participantes × 6 sesiones = 240 unidades. Distribución de la cantidad total: C1: 40 participantes × 6 sesiones pedagógicas = 240 unidades + 40 × 8 jornadas comunitarias = 320 unidades + 40 × 1 jornada de fortalecimiento = 40 unidades = 600 unidades C1. C2: 30 jóvenes × 1 entrega (Adquisición única para todo el proceso formativo. Se entrega en esta primera sesión y es reutilizado por el mismo participante en las sesiones 2 a 8 y en el encuentro de seguimiento. No se contempla nueva adquisición en sesiones posteriores) = 30 unidades C2. Total: 630 unidades.</t>
  </si>
  <si>
    <t>unidad</t>
  </si>
  <si>
    <t>CARTULINA PLIEGO</t>
  </si>
  <si>
    <t>MARCADORES GRUESOS</t>
  </si>
  <si>
    <t>Marcadores de punta gruesa biselada, tinta permanente o semipermanente, colores surtidos (mínimo negro, azul, rojo y verde), mínimo doce (12) unidades por paquete. Escritura visible a distancia mínima 2 metros. * No se aceptan secos, con punta dañada o tinta insuficiente. 1 paquete × 6 sesiones = 6 paquetes.</t>
  </si>
  <si>
    <t>paquete (x12 u.)</t>
  </si>
  <si>
    <t>MARCADORES DELGADOS</t>
  </si>
  <si>
    <t>Marcadores punta fina tipo aguja (0.3–0.5 mm), tinta negra o azul, cuerpo plástico resistente. Mínimo 12 unidades por paquete. * No se aceptan secos o con punta dañada. 1 paquete × 6 sesiones = 6 paquetes.</t>
  </si>
  <si>
    <t>TARJETAS DE TRABAJO GRUPAL (TIPO POST-IT) — C1</t>
  </si>
  <si>
    <t>Tarjetas adhesivas removibles mínimo 7.5×7.5 cm, superficie apta para escritura con marcador o esfero. Adhesivo que permite retirar y reposicionar sin dañar las superficies. * No se aceptan sin adhesivo funcional o de tamaño inferior. Campos impresos: Situación identificada / Acuerdo propuesto / Mi compromiso. 1 paquete × 6 sesiones = 6 paquetes.</t>
  </si>
  <si>
    <t>paquete (x100 u.)</t>
  </si>
  <si>
    <t>FICHAS DE COLORES PARA DINÁMICAS GRUPALES — C1</t>
  </si>
  <si>
    <t>Fichas de cartulina de colores surtidos (mínimo 3 colores diferenciados), gramaje mínimo 180 g, tamaño aprox. 10×7 cm, apta para escritura. Mínimo 100 unidades por paquete. 1 paquete × 6 sesiones = 6 paquetes. * No se aceptan de un solo color ni de tamaño inferior.</t>
  </si>
  <si>
    <t>REFRIGERIO INDIVIDUAL</t>
  </si>
  <si>
    <t>AGUA POTABLE PARA HIDRATACIÓN</t>
  </si>
  <si>
    <t>paca (x24 u.)</t>
  </si>
  <si>
    <t>BOTIQUÍN DE PRIMEROS AUXILIOS</t>
  </si>
  <si>
    <t>Maleta portátil limpia y cerrada. Contenido mínimo: 10 gasas estériles, 2 vendas elásticas, solución salina 250 ml, alcohol antiséptico 120 ml, 20 curas adhesivas, 2 pares guantes desechables, tijera de punta roma, vendaje triangular. Todos en buen estado y dentro de fecha de vencimiento. Accesible durante toda la jornada. COMPRA ÚNICA por componente: se traslada y reutiliza. Distribución: 2 unidades para actividades del C1, 1 unidad para sesiones formativas del C2, 1 unidad para actividades en espacio público del C2 (Corredor Cero Acoso, activaciones y Puntos de Activación). * No se aceptan botiquines incompletos o con elementos vencidos.</t>
  </si>
  <si>
    <t>ALQUILER DE ESPACIO CON DOTACIÓN COMPLETA — SESIONES PEDAGÓGICAS C1 (SERVICIO INTEGRAL)</t>
  </si>
  <si>
    <t xml:space="preserve">Alquiler de salón en la localidad de Chapinero  con capacidad hasta 50 personas – que tenga disponible: Equipo portátil / Proyector Video beam  para presentaciones y demostraciones digitales Sillas y mesas para 50 personas, tablero acrílico- Debe contar con baño y debe tener acceso a personas con discapacidad  </t>
  </si>
  <si>
    <t>jornada</t>
  </si>
  <si>
    <t>ALQUILER DE ESPACIO CON DOTACIÓN COMPLETA — SESIONES FORMATIVAS C2 (SERVICIO INTEGRAL)</t>
  </si>
  <si>
    <t>PROFESIONAL EN DERECHO POLICIVO Y/O CONVIVENCIA CIUDADANA — C1</t>
  </si>
  <si>
    <t>Profesional en Derecho con posgrado en derecho policivo, administrativo o derechos humanos. Experiencia mínima 2 años en formación en convivencia ciudadana con comunidades. Funciones: diseñar y facilitar la actividad, presentar contenidos del CNSC en lenguaje accesible, guiar dinámicas grupales y análisis de casos, orientar compromisos comunitarios y aplicar instrumento de evaluación. Cotizar valor hora según valores oficiales 2026. Dedicación: 6 horas por sesión × 6 sesiones = 36 horas.</t>
  </si>
  <si>
    <t>hora</t>
  </si>
  <si>
    <t>FACILITADOR(A) SOCIAL — C1</t>
  </si>
  <si>
    <t>Técnico, tecnólogo o profesional en trabajo social, psicología o ciencias sociales. Experiencia mínima 2 años en procesos comunitarios. Funciones: dar la bienvenida, apoyar dinámicas grupales, circular entre grupos, tomar registro fotográfico y elaborar relatoría. Cotizar valor hora según valores oficiales 2026. Dedicación: 6 horas por sesión × 6 sesiones = 36 horas.</t>
  </si>
  <si>
    <t>APOYO LOGÍSTICO Y OPERATIVO — C1</t>
  </si>
  <si>
    <t>Bachiller o técnico laboral. Experiencia mínima 6 meses en logística de eventos. Funciones: organizar el espacio antes del inicio, distribuir materiales, registrar asistencia en mesa de entrada y recoger todos los materiales al finalizar. Cotizar valor hora según valores oficiales 2026. Dedicación: 8 horas por sesión × 6 sesiones = 48 horas.</t>
  </si>
  <si>
    <t>MUG / POCILLO DE RECUERDO CON MENSAJE INSTITUCIONAL — C1</t>
  </si>
  <si>
    <t>PENDONES INSTITUCIONALES REUTILIZABLES — C1</t>
  </si>
  <si>
    <t>Banner mínimo 80×180 cm, lona o vinilo con estructura trípode incluida. Arte con lineamientos de la Alcaldía (logo + mensaje convivencia), aprobado por Oficina de Prensa. COMPRA ÚNICA para todo el proyecto C1: 4 pendones reutilizables en jornadas, ferias, fortalecimiento y foro. * No se aceptan sin identidad visual aprobada.</t>
  </si>
  <si>
    <t>ALQUILER DE CARPAS PLEGABLES TIPO EVENTO (4×4 m)</t>
  </si>
  <si>
    <t>unidad-jornada</t>
  </si>
  <si>
    <t>ALQUILER DE SILLAS PARA PARTICIPANTES</t>
  </si>
  <si>
    <t>ALQUILER DE MESAS DE TRABAJO GRUPAL</t>
  </si>
  <si>
    <t>ALQUILER DE MESA DE REGISTRO</t>
  </si>
  <si>
    <t>BRIGADISTA CON EQUIPO COMPLETO DE SEGURIDAD POR 8 HORAS DIURNAS — C1</t>
  </si>
  <si>
    <t>MEDIADOR(A) COMUNITARIO(A) — C1</t>
  </si>
  <si>
    <t>VOLANTES INFORMATIVOS DE CONVIVENCIA — C1</t>
  </si>
  <si>
    <t>STICKERS DE CONVIVENCIA — C1</t>
  </si>
  <si>
    <t>ALQUILER DE CARPAS TIPO EVENTO PARA ESTACIONES (4×4 m)</t>
  </si>
  <si>
    <t>ALQUILER DE STANDS O MESAS DE EXHIBICIÓN POR ESTACIÓN — C1</t>
  </si>
  <si>
    <t>ALQUILER DE EQUIPO DE SONIDO CON MICRÓFONO INALÁMBRICO</t>
  </si>
  <si>
    <t>PRESENTACIÓN CULTURAL O ARTÍSTICA EN VIVO — C1</t>
  </si>
  <si>
    <t>PIEZAS DIGITALES Y VIDEOS — C1</t>
  </si>
  <si>
    <t>Mínimo 5 piezas gráficas para redes sociales (formato cuadrado 1.080×1.080 px y vertical 1.080×1.920 px) + mínimo 2 videos cortos máx. 60 seg con subtítulos. Lenguaje incluyente (Acuerdo 381/2009). Aprobadas por Oficina de Comunicaciones antes de publicación. Archivos en formato original editable (AI o PSD) + versiones exportadas JPG/MP4. Paquete 1: lanzamiento. Paquete 2: cierre y resultados.</t>
  </si>
  <si>
    <t>paquete</t>
  </si>
  <si>
    <t>PROGRAMA IMPRESO DEL FORO — C1</t>
  </si>
  <si>
    <t>ALQUILER DE ESPACIO PARA FORO CON DOTACIÓN COMPLETA — C1 (SERVICIO INTEGRAL)</t>
  </si>
  <si>
    <t>Servicio integral llave en mano para el Foro Local de Convivencia y Seguridad Ciudadana. Incluye: (1) Auditorio o salón cerrado capacidad mínima 100 personas, tarima o área elevada para panelistas, iluminación, ventilación, baños, conexiones eléctricas, acceso para personas con discapacidad; (2) sistema de sonido completo: mínimo 3 micrófonos para panelistas + 1 inalámbrico para moderador + 1 para preguntas del público; (3) video beam proyector mínimo 3.500 lúmenes, pantalla mínimo 1.80 m visible desde todos los puntos; (4) mínimo 100 sillas para participantes; (5) mesa para panelistas con sillas. Incluye entrega, instalación, operación durante el evento y retiro completo. * No se acepta sin dotación completa.</t>
  </si>
  <si>
    <t>BRIGADISTA CON EQUIPO COMPLETO DE SEGURIDAD — PRESENTACIONES PÚBLICAS</t>
  </si>
  <si>
    <t>Brigadista con equipo completo de seguridad por 8 horas diurnas. Presente desde la instalación del espacio hasta el retiro completo de todos los elementos. Garantiza la seguridad de los asistentes durante las dos (2) presentaciones públicas del proyecto (una ante la JAL de Chapinero y una ante la ciudadanía en general). 8 horas × 2 presentaciones = 16 horas. Cotizar por jornada de 8 horas.</t>
  </si>
  <si>
    <t>CARTILLA PEDAGÓGICA — ACOSO SEXUAL EN EL ESPACIO PÚBLICO — C2</t>
  </si>
  <si>
    <t>Cartilla impresa tamaño media carta, mínimo 12 páginas, papel bond 75 g, impresión a color. Contenido obligatorio: definición y tipos de acoso sexual con ejemplos locales; marco normativo Acuerdo 998/2025 y Ley 1257/2008; datos de Bogotá (83.4% de mujeres ha vivido acoso callejero); enfoque interseccional; metodología 5D; rutas de atención (Línea Púrpura 155, Línea 123, CAVIF, Comisarías); ejercicios prácticos. Diseño aprobado por la Alcaldía Local y GoLab. 30 jóvenes + 5 reserva = 35 unidades. * No se aceptan sin contenidos mínimos o en blanco y negro.</t>
  </si>
  <si>
    <t>BITÁCORA DE INNOVACIÓN JUVENIL — BOGOTANEIDAD 2026 — C2</t>
  </si>
  <si>
    <t>CHECKLIST DE CONDUCTAS DE ACOSO SEXUAL — C2</t>
  </si>
  <si>
    <t>ESCARAPELA DE PARTICIPANTE — AGENTE DE CAMBIO — C2</t>
  </si>
  <si>
    <t>Escarapela en PVC resistente o cartulina plastificada, tamaño mínimo 9 × 6 cm, cordón tipo gafete o pinza metálica. Diseño con espacio para nombre, leyenda Agente de Cambio — Bogotaneidad Local 2026, logo de la Alcaldía Local. Entregada en el Encuentro 1 y usada en todos los encuentros para identificación. 30 jóvenes + 5 unidades de reserva para reposición en caso de pérdida o daño = 35 unidades. Se adquieren una sola vez al inicio del proceso.</t>
  </si>
  <si>
    <t>Escarapela en PVC o cartulina plastificada con cordón tipo gafete. Diseño: Agente de Cuidado — Chapinero Cero Acoso 2026, logo Alcaldía Local. Para distribución a ciudadanos que participen activamente en las activaciones pedagógicas del Corredor Cero Acoso. 60 unidades × 4 activaciones = 240 unidades.</t>
  </si>
  <si>
    <t>VOLANTES INFORMATIVOS DEL CORREDOR — C2</t>
  </si>
  <si>
    <t>ESCARAPELAS AGENTE DE CUIDADO — PUNTOS DE ACTIVACIÓN C2</t>
  </si>
  <si>
    <t>Escarapela en PVC o cartulina plastificada con cordón tipo gafete. Diseño: Agente de Cuidado — Chapinero Cero Acoso 2026, logo Alcaldía Local. Para distribución a ciudadanos en los Puntos de Activación y Pedagogía en territorio. 60 unidades × 8 puntos = 480 unidades.</t>
  </si>
  <si>
    <t>ESCARAPELAS AGENTE DE CUIDADO — CAMPAÑA DE SENSIBILIZACIÓN C2</t>
  </si>
  <si>
    <t>Escarapela en PVC o cartulina plastificada con cordón tipo gafete, espacio para nombre, tamaño mínimo 8 × 6 cm. Diseño: Agente de Cuidado — Chapinero Cero Acoso 2026, logo Alcaldía Local. Para distribución en la campaña de sensibilización en medios alternativos. 500 unidades.</t>
  </si>
  <si>
    <t>TARJETAS TIPO POST-IT ESTRUCTURADAS — C2</t>
  </si>
  <si>
    <t>Tarjetas adhesivas removibles mínimo 7.5×7.5 cm, superficie apta para escritura con marcador o esfero. Adhesivo que permite retirar y reposicionar sin dañar las superficies. * No se aceptan sin adhesivo funcional o de tamaño inferior. Campos para esta sesión: Conducta identificada / ¿Es acoso? Sí/No/A veces / ¿Por qué está normalizada?. 1 paquete(s).</t>
  </si>
  <si>
    <t>PROFESIONAL EN INNOVACIÓN SOCIAL, PARTICIPACIÓN JUVENIL Y PREVENCIÓN DE VBG — C2</t>
  </si>
  <si>
    <t>Profesional en psicología, trabajo social, sociología, licenciaturas o ciencias sociales con posgrado preferible en género, innovación social o educación. Experiencia mínima 2 años certificada en metodologías participativas, trabajo con población juvenil y/o prevención de VBG. Funciones: facilitar técnicamente la sesión formativa, orientar las dinámicas grupales, garantizar enfoque de género e interseccionalidad, aplicar instrumento de evaluación. Cotizar valor hora según valores oficiales 2026. Funciones Ses.1: facilitar técnicamente la sesión. 8 horas.</t>
  </si>
  <si>
    <t>FICHAS DE COLORES PARA ÁRBOL SISTÉMICO — C2</t>
  </si>
  <si>
    <t>Fichas de papel o cartulina de mínimo 3 colores diferenciados (causas, consecuencias, factores protectores), tamaño aprox. 10×7 cm, aptas para escritura con marcador. 1 paquete = 200 fichas. * No se aceptan de un solo color.</t>
  </si>
  <si>
    <t>paquete (x200 u.)</t>
  </si>
  <si>
    <t>MAPA IMPRESO DEL BARRIO / POLÍGONO PARA GEORREFERENCIACIÓN — C2</t>
  </si>
  <si>
    <t>TABLERO PORTÁTIL — CLIPBOARD — C2</t>
  </si>
  <si>
    <t>Portapapeles plástico tamaño carta, con clip metálico. 1 por participante. Permite escribir durante el recorrido en exteriores. 30 jóvenes + 5 reserva = 35 unidades.</t>
  </si>
  <si>
    <t>PUNTOS ADHESIVOS ROJO Y AMARILLO — MAPPING C2</t>
  </si>
  <si>
    <t>Puntos adhesivos circulares diámetro mínimo 1 cm. ROJO: lugares de peligro o donde se ha vivido/presenciado acoso. AMARILLO: zonas de incomodidad sensorial. Mínimo 200 unidades de cada color. 2 paquetes: 1 rojo + 1 amarillo. * No se aceptan con un solo color.</t>
  </si>
  <si>
    <t>paquete (x200 u. c/u)</t>
  </si>
  <si>
    <t>MADEJAS DE LANA — C2</t>
  </si>
  <si>
    <t>Madeja de lana de color llamativo (rojo, amarillo o naranja), mínimo 50 metros por madeja. 1 por grupo (6 grupos de 5 jóvenes). Los jóvenes conectan en el mapa los puntos marcados con la lana, visualizando rutas y patrones territoriales del acoso. * No se aceptan de color oscuro ni de menos de 50 metros.</t>
  </si>
  <si>
    <t>TARJETAS DE ROL — IDENTIFICADORES DE TIPO DE TESTIGO — C2</t>
  </si>
  <si>
    <t>Tarjeta de identificación de rol, tamaño mínimo 10×7 cm, cartulina gruesa mínimo 200 g o plastificada, impresión a color. Roles diferenciados por color: VERDE = Testigo que actúa; GRIS = Testigo indiferente; ROJO = Testigo que refuerza. Con cordón tipo gafete o pinza metálica. 30 jóvenes + 5 reserva = 35 unidades. * No se aceptan de un solo color ni sin diferenciación de roles.</t>
  </si>
  <si>
    <t>TARJETA DE LAS 5D — GUÍA DE INTERVENCIÓN SEGURA FRENTE AL ACOSO — C2</t>
  </si>
  <si>
    <t>Tamaño mínimo 10×15 cm, cartulina plastificada mínimo 300 micras, impresión a color. Contenido: las 5 técnicas de intervención segura (Distraer, Delegar, Documentar, Dirigirse, Dar apoyo) con descripción y ejemplo práctico de cada una. Diseño aprobado por GoLab y Alcaldía Local. 30 jóvenes + 5 reserva = 35 unidades.</t>
  </si>
  <si>
    <t>TARJETAS DE ESCENARIO PARA SIMULACIONES — C2</t>
  </si>
  <si>
    <t>TARJETAS DE IDENTIDADES Y CONTEXTOS DIFERENCIADOS — C2</t>
  </si>
  <si>
    <t>Tarjeta impresa tamaño media carta, papel bond, impresión a color. Perfiles mínimos obligatorios: mujer afrodescendiente en TransMilenio; persona trans en parque nocturno; mujer con discapacidad visual en calle; mujer migrante en mercado; adolescente de 15 años en zona de baja iluminación; mujer lesbiana en espacio público. 30 jóvenes + 5 reserva = 35 unidades. * No se aceptan con estereotipos ni perfiles genéricos sin contexto.</t>
  </si>
  <si>
    <t>CARTILLA DE INICIATIVAS COMUNITARIAS — FORMATO DE PROYECTO DE INNOVACIÓN — C2</t>
  </si>
  <si>
    <t>Documento tamaño media carta, mínimo 10 páginas, papel bond mínimo 75 g, impresión a color. Estructura obligatoria con 10 campos: nombre del proyecto, problema identificado, población objetivo con enfoque interseccional, objetivo, actividades paso a paso, cronograma, recursos necesarios, cómo se evalúa (indicadores), enfoque de género e interseccionalidad, boceto visual. 30 jóvenes + 5 reserva = 35 unidades. * No se acepta sin los 10 campos mínimos.</t>
  </si>
  <si>
    <t>PUNTOS ADHESIVOS PARA VOTACIÓN — C2 SES.8</t>
  </si>
  <si>
    <t>Puntos adhesivos pequeños diámetro 0.5–1 cm, colores surtidos. Cada participante recibe 3 puntos para votar. 1 paquete = 200 puntos. Diferente a los puntos de mapping.</t>
  </si>
  <si>
    <t>LÁPICES DE COLORES — C2 SES.8</t>
  </si>
  <si>
    <t>Caja de mínimo 12 colores, punta apta para ilustración en cartulina y papel. 5 cajas para 6 grupos de trabajo. Uso: ilustración y diseño visual de prototipos.</t>
  </si>
  <si>
    <t>caja (x12 colores c/u)</t>
  </si>
  <si>
    <t>PEGANTE EN BARRA O SILICONA LÍQUIDA — C2 SES.8</t>
  </si>
  <si>
    <t>Pegante en barra o silicona líquida en tubo, de uso en papel y cartulina. 10 unidades para ensamblaje de elementos en los prototipos.</t>
  </si>
  <si>
    <t>TIJERAS DE PUNTA REDONDA — C2 SES.8</t>
  </si>
  <si>
    <t>Tijeras de punta redonda, tamaño estándar, en buen estado. 10 unidades (1 cada 3 participantes). * No se aceptan de punta filuda sin protección.</t>
  </si>
  <si>
    <t>KIT DE PRESENTACIÓN POR EQUIPO DE TRABAJO — C2</t>
  </si>
  <si>
    <t>Kit para cada equipo (6 grupos): (1) 1 pliego de cartulina para presentación visual; (2) 5 marcadores gruesos de colores; (3) 10 tarjetas tipo post-it para notas; (4) 1 esfero por integrante del equipo. Entregado al inicio de la jornada. * No se aceptan kits incompletos.</t>
  </si>
  <si>
    <t>kit</t>
  </si>
  <si>
    <t>DIPLOMA / CERTIFICADO DE PARTICIPACIÓN — C2</t>
  </si>
  <si>
    <t>ALQUILER DE ESPACIO CON DOTACIÓN COMPLETA — HACKATÓN</t>
  </si>
  <si>
    <t>PENDÓN IDENTIFICADOR DEL EVENTO — HACKATÓN DE LA DIGNIDAD — C2</t>
  </si>
  <si>
    <t>Pendón tipo banner, tamaño mínimo 80×180 cm, lona o vinilo con estructura trípode metálica incluida. Diseño: HACKATÓN DE LA DIGNIDAD / Bogotaneidad Local 2026 / Chapinero, logo de la Alcaldía Local, paleta institucional. Aprobado por Oficina de Prensa antes de producción. Incluye entrega, instalación y retiro.</t>
  </si>
  <si>
    <t>INSTRUMENTO DE MEDICIÓN POST-INTERVENCIÓN — C2</t>
  </si>
  <si>
    <t>SEÑAL DE INGRESO AL CORREDOR — TÓTEM METÁLICO CON BASE — C2</t>
  </si>
  <si>
    <t>Tótem metálico en lámina calibre 18, dimensiones 40 cm×120 cm, base en concreto o lastre mínimo 15 kg. Impresión digital UV resistente a intemperie. Mensaje: CORREDOR CERO ACOSO / Aquí el acoso NO es normal. Tipografía Montserrat, colores morado/rojo/amarillo/blanco según referencia GoLab. Diseño aprobado por GoLab y Alcaldía Local. Instalado mínimo 1 mes.</t>
  </si>
  <si>
    <t>MENSAJES EN EL PISO — VINILO ANTIDESLIZANTE ALTO TRÁFICO — C2</t>
  </si>
  <si>
    <t>módulo</t>
  </si>
  <si>
    <t>CÓDIGO DE CONVIVENCIA — TÓTEM INFORMATIVO VERTICAL — C2</t>
  </si>
  <si>
    <t>Tótem metálico lámina calibre 18, 60 cm×150 cm, base estable para exterior. Impresión digital UV. Conductas y qué hacer frente al acoso. Diseño aprobado. Instalado mínimo 1 mes.</t>
  </si>
  <si>
    <t>PUNTO DE INFORMACIÓN Y APOYO — C2</t>
  </si>
  <si>
    <t>Lona vinílica 100×200 cm en estructura portátil de aluminio tipo backlight. Mensaje: AQUÍ TE ESCUCHAMOS / Información - Apoyo - Orientación / CERO ACOSO CERO INDIFERENCIA. Diseño aprobado por GoLab y Alcaldía. Incluye instalación, desmontaje y retiro.</t>
  </si>
  <si>
    <t>TÓTEM GIRATORIO DE MENSAJES ROTATIVOS — C2</t>
  </si>
  <si>
    <t>Estructura metálica giratoria 40 cm diámetro×160 cm alto total, mínimo 3 paneles impresos. Mensajes: RESPETA / NO IGNORES / ACOMPAÑA. Impresión digital UV, colores morado/rojo/amarillo según referencia GoLab. Diseño aprobado.</t>
  </si>
  <si>
    <t>SEÑALES DIRECCIONALES A PUNTOS SEGUROS — C2</t>
  </si>
  <si>
    <t>BASTIDORES DE IMAGEN — MURALES PARTICIPATIVOS E INSTAGRAMABLES — C2</t>
  </si>
  <si>
    <t>TARJETAS DE REFLEXIÓN — ACOSO NO ES NORMAL — ACTIVACIONES C2</t>
  </si>
  <si>
    <t>ESFEROS — ACTIVACIONES CORREDOR C2</t>
  </si>
  <si>
    <t>STAND MODULAR PARA PUNTO DE ACTIVACIÓN Y PEDAGOGÍA — C2</t>
  </si>
  <si>
    <t>Stand tipo kiosco desmontable con paneles intercambiables. Mensaje: "AQUÍ EL ACOSO NO ES NORMAL / PUNTO DE CUIDADO". Colores violeta, amarillo y rosado según paleta GoLab/Bogotaneidad Local 2026. Estructura modular, fácil de armar y transportar. Incluye entrega, instalación en el punto de activación y retiro al finalizar. Cotizado como alquiler por jornada (no compra). 1 stand × 8 puntos de activación = 8 unidades-jornada. * No se acepta en colores o dimensiones diferentes a los especificados.</t>
  </si>
  <si>
    <t>MAPA DE GEORREFERENCIACIÓN DE PUNTOS DE ACOSO — C2</t>
  </si>
  <si>
    <t>Mapa del barrio o sector impreso para uso en el punto. Los ciudadanos marcan los lugares donde han vivido o presenciado acoso. 1 mapa grande por punto = 8 unidades.</t>
  </si>
  <si>
    <t>VOLANTES INFORMATIVOS DEL PUNTO DE CUIDADO — C2</t>
  </si>
  <si>
    <t>Banner mínimo 80×180 cm, lona o vinilo con estructura trípode. Contenido: mensajes pedagógicos sobre el acoso y el Corredor Cero Acoso. Diseño aprobado por GoLab y Alcaldía. 2 pendones reutilizables en todos los puntos.</t>
  </si>
  <si>
    <t>AFICHES DE CAMPAÑA — CERO ACOSO CHAPINERO — C2</t>
  </si>
  <si>
    <t>Tamaño A3 (42×30 cm), papel bond mínimo 115 g, impresión a color por una cara. Contenido: mensajes de prevención del acoso sexual, logo Alcaldía Local y referencia a Bogotaneidad Local 2026. Lenguaje incluyente (Acuerdo 381/2009). Diseño alineado con identidad visual GoLab. Aprobado por Oficina de Prensa. 200 unidades.</t>
  </si>
  <si>
    <t>VOLANTES INFORMATIVOS DE CAMPAÑA — C2</t>
  </si>
  <si>
    <t>Mínimo 5 piezas gráficas para redes sociales (formato cuadrado 1.080×1.080 px y vertical 1.080×1.920 px) + mínimo 2 videos cortos máx. 60 seg con subtítulos accesibles por paquete. Alineado con identidad visual GoLab. Aprobados por Oficina de Comunicaciones. Archivos editables (AI/PSD) + versiones exportadas (JPG/MP4). Paquete 1: activación. Paquete 2: cierre y resultados.</t>
  </si>
  <si>
    <t>DOCUMENTO DE SISTEMATIZACIÓN, EVALUACIÓN Y CIERRE DEL PROCESO — C2</t>
  </si>
  <si>
    <t>documento</t>
  </si>
  <si>
    <t>ASISTENTE(A) ADMINISTRATIVO(A)</t>
  </si>
  <si>
    <t>Técnico, tecnólogo o profesional en administración de empresas, gestión pública o afines. Experiencia mínima 1 año en apoyo administrativo y gestión documental. Funciones: organización y custodia de soportes documentales, bases de datos de participantes, elaboración de oficios y comunicaciones formales, seguimiento al cronograma y apoyo en elaboración de informes. Transversal a ambos componentes. Cotizar honorarios mensuales según valores oficiales 2026.</t>
  </si>
  <si>
    <t>mes</t>
  </si>
  <si>
    <t>PROFESIONAL PSICOSOCIAL</t>
  </si>
  <si>
    <t>Profesional universitario en psicología o trabajo social con énfasis en intervención psicosocial. Experiencia mínima 2 años en acompañamiento psicosocial a comunidades o trabajo con población juvenil en contextos de violencia de género o conflicto comunitario. Funciones: acompañamiento emocional en actividades, atención individual a participantes que lo requieran, articulación con rutas de atención en salud mental de Chapinero, apoyo al equipo en manejo de situaciones de crisis. Disponible permanentemente. Cotizar honorarios mensuales según valores oficiales 2026.</t>
  </si>
  <si>
    <t>PROFESIONAL DE COMUNICACIONES Y DISEÑO GRÁFICO</t>
  </si>
  <si>
    <t>COORDINADOR(A) GENERAL DEL PROYECTO</t>
  </si>
  <si>
    <t>Profesional universitario en administración pública, trabajo social, derecho o afines. Posgrado en gestión pública o gerencia de proyectos. Experiencia mínima 3 años en coordinación de proyectos sociales con entidades públicas. Funciones: coordinación integral C1 y C2, articulación institucional, gestión de permisos, elaboración de informes técnicos y de seguimiento, supervisión del equipo, garantía de calidad técnica y cumplimiento contractual. Cotizar honorarios mensuales según valores oficiales 2026.</t>
  </si>
  <si>
    <t>TOTAL ESTUDIO DE MERCADO (IVA INCLUIDO)</t>
  </si>
  <si>
    <t>OBSERVACIONES</t>
  </si>
  <si>
    <t>PRECIOS OPERADOR LOGISTICO</t>
  </si>
  <si>
    <t>MEMORANDO HONORARIOS</t>
  </si>
  <si>
    <t>Se utilizó el primer promedio de la totalidad de las cotizaciones, debido a la disponibilidad limitada de hasta tres (3) cotizaciones en algunos casos, o porque el precio unitario resultante fue inferior al obtenido mediante el túnel de precios.</t>
  </si>
  <si>
    <t>Se utilizó el promedio resultante de la metodología del túnel de precios, previa exclusión de valores atípicos, por reflejar de manera más representativa el comportamiento del mercado y generar un valor inferior y más favorable para la Entidad frente al promedio simple de todas las cotizaciones.</t>
  </si>
  <si>
    <t>830058435-1</t>
  </si>
  <si>
    <t>901704425-7</t>
  </si>
  <si>
    <t>PRECIO TECHO PARA CONTRATAR PRESENTE EN EL NUMERAL 1.2 FORMATO ESTUDIO DE MERCADO OPERADOR LOGÍSTICO DEL PROCESO DE CONTRATACIÓN FDLCH-SAMC-005-2026 PUBLICADO EN EL SECOP</t>
  </si>
  <si>
    <t>RESOLUCIÓN SECRETARÍA DE GOBIERNO 20254000321923</t>
  </si>
  <si>
    <t>ASOCIACIÓN COORDINADORA CÍVICA NACIONAL COORDINA</t>
  </si>
  <si>
    <t>ACOSTA ÁNGEL ABOGADOS  ASESORES Y CONSULTORES SAS</t>
  </si>
  <si>
    <t>Programa impreso media carta (21×14 cm), papel bond mínimo 115 g, impresión a color por una cara. Contenido: nombre del foro, tema central, perfil de los 3 panelistas (con foto), estructura del evento, logos institucionales. Aprobado por Oficina de Prensa. 150 unidades: 100 participantes + 20 invitados institucionales + 10 prensa + 20 reserva.</t>
  </si>
  <si>
    <t>Tamaño postal mínimo 10×15 cm, papel bond mínimo 150 g. Logo de la Alcaldía e instrucción Escriba aquí su pregunta para los panelistas. 1 tarjeta por participante al inicio del foro.</t>
  </si>
  <si>
    <t>TARJETAS PARA PREGUNTAS DEL PÚBLICO - FORO — C1</t>
  </si>
  <si>
    <t>Cuadernillo personal tamaño media carta, mínimo 20 páginas, papel bond, portada a color con diseño Bogotaneidad Local 2026 y logo de la Alcaldía Local de Chapinero. Estructura interna: 5 secciones correspondientes a las fases del proceso (Empatizar, Definir, Idear, Prototipar, Consolidar), con preguntas orientadoras y espacio de escritura libre. Entregada en el Encuentro 1 y usada en todos los encuentros. 30 jóvenes + 5 reserva = 35 unidades. * No se aceptan sin estructura de fases ni sin portada institucional.</t>
  </si>
  <si>
    <t>Formato impreso tamaño carta, papel bond 75 g, impresión a una cara, una por participante. Estructura: listado de mínimo 15 conductas específicas (miradas morbosas, silbidos, comentarios sobre el cuerpo, persecuciones, tocamientos no consentidos, etc.) con: (a) columna de clasificación individual (¿Es acoso?: Sí / No / A veces / No estoy seguro); (b) escala de frecuencia observada en el entorno (1 a 5); (c) espacio de reflexión abierta. Diseño aprobado por el equipo técnico antes de su impresión. * No se acepta un checklist con menos de 15 conductas o sin escala de frecuencia. * 30 jóvenes + 5 reserva = 35 unidades. Precio de referencia ajustado a ítems impresos comparables del mismo estudio (Instrumento de medición $2.380, Mapa impreso $2.142).</t>
  </si>
  <si>
    <t>Mapa impreso en papel bond tamaño carta o doble carta del barrio o polígono de intervención, con calles, manzanas y puntos de referencia. Impresión a color con alto contraste. 1 mapa por participante. Preparado por el equipo técnico con base en el polígono definido. 30 jóvenes + 5 reserva = 35 unidades. * No se aceptan mapas ilegibles, sin calles o en blanco y negro.</t>
  </si>
  <si>
    <t>Tarjetas impresas tamaño media carta, papel bond 200 g, impresión a color. Cada tarjeta describe una situación específica de acoso en el espacio público (bus, calle, parque, tienda, noche) con personajes, contexto y pregunta de acción. Mínimo 10 escenarios diferentes con contexto local. Diseñadas por el equipo técnico. * No se aceptan escenarios genéricos sin contexto local.</t>
  </si>
  <si>
    <t>Diploma o certificado impreso en papel bond de alta calidad mínimo 120 g, tamaño carta horizontal, impresión a color. Contenido obligatorio: nombre del participante en fuente destacada, nombre del proceso ('Bogotaneidad Local 2026 — Generación de Capacidades contra el Acoso'), logo de la Alcaldía Local de Chapinero, firma del Alcalde(sa) Local o delegado, fecha y duración del proceso (9 encuentros formativos). Diseño aprobado por la Alcaldía Local antes de la impresión. * No se aceptan diplomas sin firma institucional, sin nombre del proceso ni sin logo. * 30 jóvenes + 5 reserva = 35 unidades.</t>
  </si>
  <si>
    <t>Instrumento impreso en papel bond tamaño carta, diseñado por el equipo técnico con base en los objetivos del proceso formativo. Estructura mínima: (1) preguntas sobre cambios en la percepción del acoso (preguntas cerradas con escala + pregunta abierta); (2) acciones tomadas desde el proceso (¿usaste las 5D? ¿cómo?); (3) replicación del aprendizaje (¿lo compartiste con alguien?); (4) escala de percepción de seguridad en el espacio público antes/después. Diseñado y validado por el equipo técnico antes del encuentro. * No se acepta un instrumento sin preguntas de cambio de percepción ni de acciones tomadas. * 30 jóvenes + 5 reserva = 35 unidades.</t>
  </si>
  <si>
    <t>INSTRUMENTO DE MEDICIÓN COMPORTAMENTAL PARA TRANSEÚNTES – C2</t>
  </si>
  <si>
    <t>Instrumento impreso tamaño media carta, diseñado por el equipo técnico. Máximo 10 preguntas para que un transeúnte lo pueda diligenciar en 5 minutos. Contenido: percepción previa de acoso en el sector, conocimiento de rutas de atención, intención de actuación como testigo, percepción del corredor como espacio seguro. Validado por el equipo técnico antes de su impresión. * No se aceptan instrumentos de más de 10 preguntas o que tarden más de 5 minutos."</t>
  </si>
  <si>
    <t>ESCARAPELAS AGENTE DE CUIDADO — ACTIVACIONES CORREDOR - C2</t>
  </si>
  <si>
    <t>Postal tamaño mínimo 10×15 cm, papel bond 200 g, impresión a color. Anverso: imagen artística con mensaje de convivencia y cuidado. Reverso: espacio para que el ciudadano escriba un compromiso personal. Distribución: 100 unidades × 4 activaciones del Corredor = 400 unidades + 60 unidades × 8 Puntos de Activación = 480 unidades. Total: 880 unidades. * No se aceptan sin espacio de compromiso personal.</t>
  </si>
  <si>
    <t>Volante tamaño medio oficio (21 x 14 cm), papel bond 90 g, impresión a color. Contenido: qué es el acoso, tipos frecuentes, qué hacer como víctima, cómo actuar como testigo (5D), rutas de atención distritales. Aprobado por la oficina de prensa de la Alcaldía Local. * No se aceptan sin rutas de atención ni sin aprobación. * 250 unidades × 8 puntos = 2.000 unidades totales. * El precio de referencia corresponde únicamente al costo de impresión. El diseño gráfico es responsabilidad del Profesional de Comunicaciones y Diseño Gráfico incluido en el equipo del contrato.incluido en el equipo del contrato</t>
  </si>
  <si>
    <t>Volante medio oficio (21×14 cm), papel bond mínimo 90 g, impresión a color por una cara. Contenido: qué es el acoso sexual, tipos frecuentes, qué hacer como víctima, las 5D como testigo, rutas de atención distritales. Diseño alineado con identidad visual GoLab y Bogotaneidad Local 2026. Lenguaje incluyente. Aprobado por la oficina de prensa de la Alcaldía Local de Chapinero. 2.000 unidades para distribuir en todos los puntos y el corredor. El precio de referencia corresponde únicamente al costo de impresión. El diseño es responsabilidad del Profesional de Comunicaciones y Diseño Gráfico incluido en el equipo del contrato</t>
  </si>
  <si>
    <t>documento Documento técnico entregado en formato Word editable (.docx) e impreso en papel bond. Extensión mínima: 30 páginas de contenido. Estructura obligatoria de 8 capítulos: (1) introducción y contexto; (2) descripción del proceso por línea de trabajo; (3) caracterización de participantes (número total, género, edad, vinculación territorial); (4) resultados cuantitativos y cualitativos por actividad; (5) análisis del enfoque de género e interseccionalidad; (6) articulación institucional; (7) aprendizajes y buenas prácticas; (8) conclusiones y recomendaciones. Incluye: registro fotográfico integrado al texto, tablas de resultados, análisis cuantitativo de indicadores. Anexos obligatorios: listados de asistencia de todas las actividades y proyectos de innovación de los jóvenes participantes. Entregado en formato Word editable (.docx) + PDF + 2 ejemplares impresos encuadernados.</t>
  </si>
  <si>
    <t>Profesional en ciencias sociales, derecho, trabajo social o afines, con posgrado o diplomado en género, derechos humanos o VBG. Experiencia mínima 2 años en programas con enfoque de género o prevención de violencia sexual con población juvenil. Funciones Ses.1: revisar y validar la cartilla pedagógica, bitácora y checklist antes de su distribución (lenguaje incluyente, libre de estereotipos); apoyar al Profesional C2 cuando emerjan situaciones que requieran enfoque interseccional; orientar al grupo en la identificación de cómo el género determina quién vive el acoso. Presencia completa durante toda la sesión disponible para los participantes. Dedicación: 1 jornada = 8 horas por sesión. Cotizar valor hora según valores oficiales 2026.</t>
  </si>
  <si>
    <t>PIEZAS DIGITALES Y VIDEOS DE CAMPAÑA — C2</t>
  </si>
  <si>
    <t>PROFESIONAL EN ENFOQUE DE GÉNERO Y DERECHOS HUMANOS — C2</t>
  </si>
  <si>
    <t>PENDÓN PEDAGÓGICO DEL PUNTO DE CUIDADO — C2</t>
  </si>
  <si>
    <t>Bolígrafo tinta negra o azul punta 0.7–1 mm. Distribución: 30 unidades para el Hackatón de la Dignidad + 20 unidades para las Activaciones del Corredor (reutilizables también en los 8 Puntos de Activación) = 50 unidades totales</t>
  </si>
  <si>
    <t>CUÑAS DE AUDIO CON PAUTA EN MEDIOS ALTERNATIVOS — C1 Y C2</t>
  </si>
  <si>
    <t>STICKERS DE CAMPAÑA — CERO ACOSO – C2</t>
  </si>
  <si>
    <t>Sticker circular o rectangular mínimo 8 cm, adhesivo resistente a exteriores. Mensaje: 'AQUÍ EL ACOSO NO ES NORMAL / BOGOTÁ CERO ACOSO'. Colores violeta y blanco. Aprobado por la oficina de prensa. Distribución: 125 unidades para Puntos de Activación + 1.000 unidades para Campaña de Sensibilización = 1.125 unidades totales.</t>
  </si>
  <si>
    <t>Profesional universitario en comunicación social, diseño gráfico, publicidad o comunicación audiovisual. Experiencia mínima 2 años en producción de materiales gráficos y audiovisuales para proyectos sociales o institucionales, manejo de herramientas de diseño (Adobe Illustrator, Photoshop, InDesign o equivalentes). Funciones transversales: diseño y producción de todos los materiales gráficos del proyecto (piezas digitales, videos, volantes, afiches, pendones, cartillas, bitácoras, diplomas), coordinación de cuñas de audio y pauta en medios alternativos, gestión de aprobaciones con Oficina de Prensa. 276 horas distribuidas durante los 8 meses según cronograma de producción de materiales. Cotizar valor hora según valores oficiales 2026</t>
  </si>
  <si>
    <t>Sillas individuales plástico rígido, con espaldar, sin brazos, altura 45 cm, estructura estable. Incluye transporte, entrega, instalación y retiro. * No se aceptan inestables o deterioradas. Distribución: C1: 40 sillas × 8 jornadas comunitarias = 320 + 60 sillas × 2 ferias = 120 = 440 unidades-jornada C1. C2: 30 sillas × 9 sesiones formativas = 270 + 50 sillas Hackatón + 30 sillas encuentro seguimiento = 350 unidades-jornada C2. Total: 790 unidades-jornada.</t>
  </si>
  <si>
    <t>Mínimo 2 cuñas de audio 30–60 seg sobre convivencia ciudadana y rutas de atención. Producción completa: locución, musicalización, mezcla y masterización. Guión aprobado por Oficina de Prensa. Pauta en mínimo 1 emisora comunitaria o medio alternativo de Chapinero, mínimo 30 emisiones. Entrega: archivos MP3 + constancia de pauta. * No se aceptan sin aprobación institucional. * 2 cuñas para el Componente 1 + 2 cuñas para la Campaña de Sensibilización del Componente 2 = 4 cuñas totales.</t>
  </si>
  <si>
    <t>ALQUILER DE ESPACIO CON DOTACIÓN COMPLETA — PRESENTACIONES FINALES (EVENTO DE CLAUSURA) DEL PROYECTO (SERVICIO INTEGRAL)</t>
  </si>
  <si>
    <t>el contratista debe realizar la presentacion final de cierre (evento de clausura)  de los dos compornentes por lo cual debera realizara dos eventos de cierre en el cual se presenten los resulatdos  ante instancias de participación y ciudadanía en general de la Localidad de Chapinero. Incluye: (1) Auditorio o salón cerrado capacidad mínima 100 personas, tarima o área elevada para panelistas, iluminación, ventilación, baños, conexiones eléctricas, acceso para personas con discapacidad; (2) Sistema de sonido completo: mínimo 3 micrófonos para panelistas + 1 inalámbrico para moderador + 1 para preguntas del público; (3) Video beam proyector mínimo 3.500 lúmenes, pantalla mínimo 1.80 m visible desde todos los puntos; (4) Mínimo 100 sillas para participantes; (5) Mesa para panelistas con sillas. Incluye entrega, instalación, operación durante el evento y retiro completo. 1 jornada × 2 presentaciones = 2 jornadas. * No se acepta sin dotación completa.
El precio de referencia de este ítem corresponde al mismo cotizado para el Foro Local de Convivencia Ciudadana, dado que ambos eventos requieren las mismas condiciones técnicas de dotación. La cotización de soporte se adjunta en el documento de soportes del proceso."</t>
  </si>
  <si>
    <t>Pocillo o mug de cerámica o material resistente, capacidad mínima 250 ml, con tapa y cuchara. Diseño personalizado con logo de la Alcaldía Local de Chapinero y mensaje alusivo a la convivencia ciudadana (ej. 'Chapinero Convive' o equivalente). Aprobado por la oficina de prensa de la Alcaldía Local de Chapinero antes de su producción. Entregado a los participantes activos al finalizar la jornada como reconocimiento por su participación. 40 unidades × 8 jornadas = 320 unidades + 40 unidades adicionales a disposición de la Alcaldía Local para entrega en otros eventos institucionales, visitas de personas externas o invitados especiales que asistan a las actividades del proyecto = 360 unidades. Se adquieren una sola vez* No se aceptan pocillos sin identificación institucional o en mal estado.</t>
  </si>
  <si>
    <t>Cartulina pliego tamaño mínimo 70×100 cm, gramaje mínimo 200 g, superficie completamente lisa, sin líneas ni cuadros, apta para escritura con marcador sin traspasar. * No se aceptan rasgadas, húmedas o de tamaño inferior. 6 pliegos × 7 sesiones pedagógicas = 42 + 6 pliegos × 8 jornadas comunitarias = 48 + 6 pliegos × 6 ferias = 36. Total: 126 unidades</t>
  </si>
  <si>
    <t>Paca de agua potable embotellada: 24 botellas individuales mínimo 330 ml cada una, selladas de fábrica, aptas para consumo humano, sin vencimiento próximo. * No se aceptan botellas abiertas, sin sello o vencidas. 3 pacas × 6 ferias + pacas jornadas = 78 unidades totales.</t>
  </si>
  <si>
    <t>Estructura metálica o aluminio resistente, cubierta lona impermeable, altura mínima 2.5 m, sistema soporte estable. Incluye transporte, montaje, instalación, aseguramiento, desmontaje y retiro. * No se aceptan inestables o sin cubierta funcional. 2 carpas × 8 jornadas + 8 carpas × 4 ferias = 64 unidades-jornada.</t>
  </si>
  <si>
    <t>Mesa registro mínimo 1.00 m × 0.60 m, estructura estable, ubicada en el punto de acceso. Incluye transporte, entrega, instalación y retiro. 1 mesa × 8 jornadas + 1 mesa × 6 ferias = 14 unidades-jornada</t>
  </si>
  <si>
    <t>Producto de panadería de sal mínimo 120 g (opción vegetariana obligatoria), fruta entera de temporada mínimo 80 g, golosina, bebida no alcohólica mínimo 200 ml en empaque 100% biodegradable. Cubiertos biodegradables incluidos. Entrega en el lugar de la actividad. * No se aceptan sin opción vegetariana o sin cubiertos. Distribución: C1 sesiones (280) + C1 jornadas (320) + C1 ferias (348) + C1 fortalecimiento (20) + C1 foro (120) + C2 sesiones (270) + C2 Hackatón (50) + C2 seguimiento (30) + refrigerios equipo adicionales (436) = 1.874 unidades.</t>
  </si>
  <si>
    <t>Sillas individuales plástico rígido, con espaldar, sin brazos, altura 45 cm, estructura estable. Incluye transporte, entrega, instalación y retiro. * No se aceptan inestables o deterioradas. Distribución:C1: 40 sillas × 8 jornadas comunitarias + 60 sillas × 6 ferias = 680. C2: 30 sillas × 9 sesiones formativas = 270 + 50 sillas Hackatón + 30 sillas encuentro seguimiento = 350. Total: 660 unidades-jornada.</t>
  </si>
  <si>
    <t>Brigadista con equipo completo de seguridad por 8 horas diurnas. Presente desde la instalación del espacio hasta el retiro completo de todos los materiales y equipos. Garantiza la seguridad de los participantes y el equipo durante las actividades en espacio público o con alta afluencia de personas. Aplica en: Act2 Jornadas C1 (8 jornadas × 8h = 64h), Act3 Ferias C1 (6 ferias × 2 brigadistas = 12 jornadas × 8h = 96h), Act6 Foro C1 (1 jornada × 8h = 8h). Total: 34 jornadas. Cotizar por jornada de 8 horas.</t>
  </si>
  <si>
    <t>Profesional universitario en derecho, trabajo social, psicología o sociología, con formación o experiencia certificada en resolución de conflictos, mediación comunitaria o justicia restaurativa (Ley 1801 de 2016). Experiencia mínima 2 años en mediación comunitaria o gestión de conflictos vecinales. Funciones en jornadas comunitarias: identificar situaciones de conflicto latente durante el diagnóstico participativo; facilitar el diálogo entre vecinos, comerciantes y actores comunitarios con perspectivas opuestas; orientar la construcción colectiva de pactos de convivencia; articular con Inspecciones de Policía o Casas de Justicia cuando los conflictos superen la capacidad de resolución comunitaria; documentar los acuerdos alcanzados. Dedicación: 8 jornadas comunitarias + 6 ferias + 1 foro + 1 fortalecimiento = 16 jornadas en total. Cotizar por jornada según valores oficiales 2026.</t>
  </si>
  <si>
    <t>Volante tamaño medio oficio (21 x 14 cm), papel bond mínimo 90 g, impresión a color. Contenido: normas de convivencia más frecuentes (ruido, basuras, espacio público, conflictos vecinales), rutas de atención (Línea 123, Inspecciones de Policía, Comisarías de Familia), contactos institucionales de la localidad. Diseño aprobado por la oficina de prensa de la Alcaldía Local de Chapinero. Acuerdo Distrital 381 de 2009 (lenguaje incluyente, imágenes no sexistas). 200 unidades × 6 ferias + 800 unidades distribución en jornadas y territorio = 2.000 unidades totales</t>
  </si>
  <si>
    <t>Sticker circular o rectangular mínimo 8 cm, adhesivo resistente a exteriores. Mensaje alusivo a la convivencia ciudadana, logo de la Alcaldía Local de Chapinero. Aprobado por la oficina de prensa. Distribución: 100 unidades × 6 ferias + 400 unidades en distribución territorial = 1.000 unidades totales</t>
  </si>
  <si>
    <t>Estructura metálica o aluminio resistente, cubierta lona impermeable, altura mínima 2.5 m, sistema soporte estable. Incluye transporte, montaje, instalación, aseguramiento, desmontaje y retiro. * No se aceptan inestables o sin cubierta funcional. 6 carpas × 6 ferias = 36 unidades-jornada. 1 carpa por estación temática + área de presentación cultural.</t>
  </si>
  <si>
    <t>Stand con panel frontal mínimo 1.20 m × 1.80 m o mesa exhibición mínimo 1.20 m × 0.60 m, apta para fijar material. Incluye transporte, instalación y retiro. 5 stands × 6 ferias = 30 unidades-jornada.</t>
  </si>
  <si>
    <t>Equipo portátil de sonido con micrófono inalámbrico (mínimo 1), potencia suficiente para espacio abierto con mínimo 50 personas. Incluye entrega, instalación, operación y retiro. 1 equipo × 6 ferias + 4 jornadas adicionales = 10 jornadas,</t>
  </si>
  <si>
    <t>Servicio llave en mano: artista o grupo + desplazamiento dentro de Chapinero + sistema de sonido propio completo. Mínimo 30 minutos en vivo. Tipo: música en vivo (mín. 2 intérpretes), danza (mín. 3 bailarines) o teatro de calle (mín. 2 actores). Repertorio alusivo a convivencia ciudadana. Aprobado por Alcaldía Local con mínimo 2 semanas de antelación. 1 presentación × 6 ferias = 6 jornadas.</t>
  </si>
  <si>
    <t>Volante tamaño medio oficio (21 x 14 cm), papel bond mínimo 90 g, impresión a color. Contenido: qué es el Corredor Cero Acoso, los 3 ejes (Nombrar, Rechazar, Actuar), las 5D de intervención segura, rutas de atención distritales (Línea Púrpura 155, Línea 123, CAVIF, Comisarías de Familia). Aprobado por la oficina de prensa de la Alcaldía Local de Chapinero. Diseño alineado con identidad visual GoLab y Bogotaneidad Local 2026. * No se aceptan sin rutas de atención ni sin aprobación institucional. * 200 unidades × 4 activaciones + 216 unidades adicionales de refuerzo = 1.016 unidades totales. * El precio de referencia corresponde únicamente al costo de impresión. El diseño gráfico es responsabilidad del Profesional de Comunicaciones y Diseño Gráfico incluido en el equipo del contrato</t>
  </si>
  <si>
    <t>Vinilo antideslizante alto tráfico, laminado para exteriores, mínimo 80 cm×40 cm por módulo. Mensaje: ACOSAR AQUÍ NO ES NORMAL / BOGOTÁ CERO ACOSO. Colores morado y amarillo. Visible desde 5 metros. Instalado mínimo 1 mes. Incluye limpieza del área y aplicación. 15 módulos a lo largo del corredor.</t>
  </si>
  <si>
    <t>Panel metálico lámina calibre 18, forma de flecha, 60 cm×20 cm, con sistema de anclaje incluido. Mensaje: PUNTO SEGURO A 50 METROS. Visible desde 10 metros. 6 señales a lo largo del corredor.</t>
  </si>
  <si>
    <t>Bastidor de madera tratada 80 cm×120 cm, impresión en lona alta resolución o PVC. Imágenes artísticas o fotos comunitarias. Diseño aprobado por GoLab y Alcaldía. 3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</si>
</sst>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44" formatCode="_-&quot;$&quot;\ * #,##0.00_-;\-&quot;$&quot;\ * #,##0.00_-;_-&quot;$&quot;\ * &quot;-&quot;??_-;_-@_-"/>
    <numFmt numFmtId="43" formatCode="_-* #,##0.00_-;\-* #,##0.00_-;_-* &quot;-&quot;??_-;_-@_-"/>
    <numFmt numFmtId="164" formatCode="_-* #,##0_-;\-* #,##0_-;_-* \-??_-;_-@_-"/>
    <numFmt numFmtId="165" formatCode="###\ ###\ ###"/>
    <numFmt numFmtId="166" formatCode="\$#,##0"/>
    <numFmt numFmtId="167" formatCode="_-&quot;$&quot;\ * #,##0_-;\-&quot;$&quot;\ * #,##0_-;_-&quot;$&quot;\ * &quot;-&quot;??_-;_-@_-"/>
    <numFmt numFmtId="168" formatCode="_-* #,##0_-;\-* #,##0_-;_-* &quot;-&quot;??_-;_-@_-"/>
  </numFmts>
  <fonts count="19" x14ac:knownFonts="1">
    <font>
      <sz val="11"/>
      <color theme="1"/>
      <name val="Calibri"/>
      <family val="2"/>
      <charset val="1"/>
    </font>
    <font>
      <sz val="11"/>
      <color theme="1"/>
      <name val="Calibri"/>
      <family val="2"/>
      <scheme val="minor"/>
    </font>
    <font>
      <sz val="11"/>
      <color theme="1"/>
      <name val="Calibri"/>
      <family val="2"/>
      <charset val="1"/>
    </font>
    <font>
      <sz val="10"/>
      <color theme="1"/>
      <name val="Century Gothic"/>
      <family val="2"/>
      <charset val="1"/>
    </font>
    <font>
      <b/>
      <sz val="10"/>
      <name val="Century Gothic"/>
      <family val="2"/>
      <charset val="1"/>
    </font>
    <font>
      <b/>
      <sz val="10"/>
      <color theme="1"/>
      <name val="Century Gothic"/>
      <family val="2"/>
      <charset val="1"/>
    </font>
    <font>
      <b/>
      <sz val="10"/>
      <color theme="1"/>
      <name val="Century Gothic"/>
      <family val="2"/>
    </font>
    <font>
      <b/>
      <sz val="10"/>
      <color rgb="FF000000"/>
      <name val="Century Gothic"/>
      <family val="2"/>
      <charset val="1"/>
    </font>
    <font>
      <sz val="9"/>
      <name val="Arial"/>
      <family val="2"/>
    </font>
    <font>
      <b/>
      <sz val="9"/>
      <name val="Arial"/>
      <family val="2"/>
    </font>
    <font>
      <b/>
      <sz val="12"/>
      <color theme="1"/>
      <name val="Century Gothic"/>
      <family val="2"/>
    </font>
    <font>
      <b/>
      <sz val="10"/>
      <name val="Century Gothic"/>
      <family val="2"/>
    </font>
    <font>
      <sz val="10"/>
      <color theme="1"/>
      <name val="Century Gothic"/>
      <family val="2"/>
    </font>
    <font>
      <b/>
      <sz val="8"/>
      <color rgb="FF000000"/>
      <name val="Century Gothic"/>
      <family val="2"/>
    </font>
    <font>
      <sz val="8"/>
      <name val="Calibri"/>
      <family val="2"/>
      <charset val="1"/>
    </font>
    <font>
      <b/>
      <sz val="11"/>
      <color theme="1"/>
      <name val="Calibri"/>
      <family val="2"/>
      <charset val="1"/>
    </font>
    <font>
      <sz val="8"/>
      <color rgb="FF000000"/>
      <name val="Century Gothic"/>
      <family val="2"/>
    </font>
    <font>
      <b/>
      <sz val="9"/>
      <color theme="1"/>
      <name val="Garamond"/>
      <family val="1"/>
    </font>
    <font>
      <sz val="11"/>
      <name val="Calibri"/>
      <family val="2"/>
      <charset val="1"/>
    </font>
  </fonts>
  <fills count="18">
    <fill>
      <patternFill patternType="none"/>
    </fill>
    <fill>
      <patternFill patternType="gray125"/>
    </fill>
    <fill>
      <patternFill patternType="solid">
        <fgColor theme="0" tint="-0.14999847407452621"/>
        <bgColor rgb="FFDCE6F2"/>
      </patternFill>
    </fill>
    <fill>
      <patternFill patternType="solid">
        <fgColor theme="4" tint="0.79998168889431442"/>
        <bgColor indexed="64"/>
      </patternFill>
    </fill>
    <fill>
      <patternFill patternType="solid">
        <fgColor theme="4" tint="0.79989013336588644"/>
        <bgColor rgb="FFDEEAF1"/>
      </patternFill>
    </fill>
    <fill>
      <patternFill patternType="solid">
        <fgColor rgb="FFFFF2CC"/>
        <bgColor rgb="FFF2F2F2"/>
      </patternFill>
    </fill>
    <fill>
      <patternFill patternType="solid">
        <fgColor rgb="FFFFFFFF"/>
        <bgColor rgb="FFF2F2F2"/>
      </patternFill>
    </fill>
    <fill>
      <patternFill patternType="solid">
        <fgColor theme="6" tint="0.59999389629810485"/>
        <bgColor rgb="FFDEEAF1"/>
      </patternFill>
    </fill>
    <fill>
      <patternFill patternType="solid">
        <fgColor rgb="FFF2F2F2"/>
        <bgColor rgb="FFE2EFDA"/>
      </patternFill>
    </fill>
    <fill>
      <patternFill patternType="solid">
        <fgColor theme="5" tint="0.5999938962981048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9" tint="0.39997558519241921"/>
        <bgColor rgb="FFFF99CC"/>
      </patternFill>
    </fill>
    <fill>
      <patternFill patternType="solid">
        <fgColor theme="9" tint="0.59999389629810485"/>
        <bgColor indexed="64"/>
      </patternFill>
    </fill>
    <fill>
      <patternFill patternType="solid">
        <fgColor theme="9" tint="0.39997558519241921"/>
        <bgColor indexed="64"/>
      </patternFill>
    </fill>
    <fill>
      <patternFill patternType="solid">
        <fgColor theme="7" tint="0.79998168889431442"/>
        <bgColor rgb="FFF2F2F2"/>
      </patternFill>
    </fill>
    <fill>
      <patternFill patternType="solid">
        <fgColor theme="0"/>
        <bgColor indexed="64"/>
      </patternFill>
    </fill>
    <fill>
      <patternFill patternType="solid">
        <fgColor rgb="FFFFC000"/>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4">
    <xf numFmtId="0" fontId="0" fillId="0" borderId="0"/>
    <xf numFmtId="43" fontId="1" fillId="0" borderId="0" applyFont="0" applyFill="0" applyBorder="0" applyAlignment="0" applyProtection="0"/>
    <xf numFmtId="44" fontId="2" fillId="0" borderId="0"/>
    <xf numFmtId="9" fontId="1" fillId="0" borderId="0" applyFont="0" applyFill="0" applyBorder="0" applyAlignment="0" applyProtection="0"/>
  </cellStyleXfs>
  <cellXfs count="81">
    <xf numFmtId="0" fontId="0" fillId="0" borderId="0" xfId="0"/>
    <xf numFmtId="0" fontId="3" fillId="0" borderId="1" xfId="0" applyFont="1" applyBorder="1"/>
    <xf numFmtId="0" fontId="0" fillId="0" borderId="0" xfId="0"/>
    <xf numFmtId="0" fontId="7"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top" wrapText="1"/>
    </xf>
    <xf numFmtId="0" fontId="8" fillId="0" borderId="1" xfId="0" applyFont="1" applyBorder="1" applyAlignment="1">
      <alignment horizontal="left" vertical="top" wrapText="1"/>
    </xf>
    <xf numFmtId="3" fontId="8" fillId="0" borderId="1" xfId="0" applyNumberFormat="1" applyFont="1" applyBorder="1" applyAlignment="1">
      <alignment horizontal="center" vertical="center" wrapText="1"/>
    </xf>
    <xf numFmtId="166" fontId="0" fillId="5" borderId="1" xfId="0" applyNumberFormat="1" applyFill="1" applyBorder="1" applyAlignment="1">
      <alignment horizontal="center" vertical="center"/>
    </xf>
    <xf numFmtId="166" fontId="0" fillId="6" borderId="1" xfId="0" applyNumberFormat="1" applyFill="1" applyBorder="1" applyAlignment="1">
      <alignment horizontal="center" vertical="center"/>
    </xf>
    <xf numFmtId="166" fontId="0" fillId="7" borderId="1" xfId="0" applyNumberFormat="1" applyFill="1" applyBorder="1" applyAlignment="1">
      <alignment horizontal="center" vertical="center"/>
    </xf>
    <xf numFmtId="9" fontId="0" fillId="7" borderId="1" xfId="0" applyNumberFormat="1" applyFill="1" applyBorder="1" applyAlignment="1">
      <alignment horizontal="center" vertical="center"/>
    </xf>
    <xf numFmtId="166" fontId="0" fillId="0" borderId="1" xfId="0" applyNumberFormat="1" applyBorder="1" applyAlignment="1">
      <alignment horizontal="center" vertical="center"/>
    </xf>
    <xf numFmtId="166" fontId="0" fillId="8" borderId="1" xfId="0" applyNumberFormat="1" applyFill="1" applyBorder="1" applyAlignment="1">
      <alignment horizontal="center" vertical="center"/>
    </xf>
    <xf numFmtId="166" fontId="2" fillId="6" borderId="1" xfId="0" applyNumberFormat="1" applyFont="1" applyFill="1" applyBorder="1" applyAlignment="1">
      <alignment horizontal="center" vertical="center"/>
    </xf>
    <xf numFmtId="166" fontId="2" fillId="5" borderId="1" xfId="0" applyNumberFormat="1" applyFont="1" applyFill="1" applyBorder="1" applyAlignment="1">
      <alignment horizontal="center" vertical="center"/>
    </xf>
    <xf numFmtId="0" fontId="9"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center" wrapText="1"/>
    </xf>
    <xf numFmtId="0" fontId="6" fillId="0" borderId="0" xfId="0" applyFont="1"/>
    <xf numFmtId="0" fontId="6" fillId="9" borderId="1" xfId="0" applyFont="1" applyFill="1" applyBorder="1" applyAlignment="1">
      <alignment horizontal="center" vertical="center"/>
    </xf>
    <xf numFmtId="0" fontId="0" fillId="0" borderId="2" xfId="0" applyBorder="1"/>
    <xf numFmtId="0" fontId="0" fillId="0" borderId="3" xfId="0" applyBorder="1"/>
    <xf numFmtId="42" fontId="6" fillId="9" borderId="1" xfId="0" applyNumberFormat="1" applyFont="1" applyFill="1" applyBorder="1" applyAlignment="1">
      <alignment vertical="center"/>
    </xf>
    <xf numFmtId="42" fontId="6" fillId="9" borderId="1" xfId="0" applyNumberFormat="1" applyFont="1" applyFill="1" applyBorder="1" applyAlignment="1">
      <alignment horizontal="center" vertical="center"/>
    </xf>
    <xf numFmtId="44" fontId="6" fillId="9" borderId="1" xfId="2" applyFont="1" applyFill="1" applyBorder="1" applyAlignment="1">
      <alignment horizontal="center" vertical="center"/>
    </xf>
    <xf numFmtId="167" fontId="10" fillId="9" borderId="1" xfId="0" applyNumberFormat="1" applyFont="1" applyFill="1" applyBorder="1" applyAlignment="1">
      <alignment vertical="center"/>
    </xf>
    <xf numFmtId="167" fontId="10" fillId="10" borderId="1" xfId="0" applyNumberFormat="1" applyFont="1" applyFill="1" applyBorder="1" applyAlignment="1">
      <alignment vertical="center"/>
    </xf>
    <xf numFmtId="44" fontId="12" fillId="11" borderId="1" xfId="2" applyFont="1" applyFill="1" applyBorder="1" applyAlignment="1">
      <alignment vertical="center"/>
    </xf>
    <xf numFmtId="9" fontId="12" fillId="11" borderId="1" xfId="3" applyFont="1" applyFill="1" applyBorder="1" applyAlignment="1">
      <alignment horizontal="center" vertical="center"/>
    </xf>
    <xf numFmtId="44" fontId="12" fillId="13" borderId="1" xfId="2" applyFont="1" applyFill="1" applyBorder="1" applyAlignment="1">
      <alignment vertical="center"/>
    </xf>
    <xf numFmtId="9" fontId="12" fillId="13" borderId="1" xfId="3" applyFont="1" applyFill="1" applyBorder="1" applyAlignment="1">
      <alignment horizontal="center" vertical="center"/>
    </xf>
    <xf numFmtId="168" fontId="16" fillId="0" borderId="0" xfId="1" applyNumberFormat="1" applyFont="1" applyFill="1" applyBorder="1" applyAlignment="1">
      <alignment vertical="center" wrapText="1"/>
    </xf>
    <xf numFmtId="0" fontId="12" fillId="0" borderId="1" xfId="0" applyFont="1" applyBorder="1" applyAlignment="1">
      <alignment wrapText="1"/>
    </xf>
    <xf numFmtId="0" fontId="9" fillId="0" borderId="1" xfId="0" applyFont="1" applyFill="1" applyBorder="1" applyAlignment="1">
      <alignment horizontal="left" vertical="top" wrapText="1"/>
    </xf>
    <xf numFmtId="166" fontId="0" fillId="15" borderId="1" xfId="0" applyNumberFormat="1" applyFill="1" applyBorder="1" applyAlignment="1">
      <alignment horizontal="center" vertical="center"/>
    </xf>
    <xf numFmtId="0" fontId="0" fillId="0" borderId="0" xfId="0"/>
    <xf numFmtId="0" fontId="9" fillId="0" borderId="5" xfId="0" applyFont="1" applyBorder="1" applyAlignment="1">
      <alignment horizontal="left" vertical="top" wrapText="1"/>
    </xf>
    <xf numFmtId="0" fontId="18" fillId="0" borderId="1" xfId="0" applyFont="1" applyBorder="1" applyAlignment="1">
      <alignment wrapText="1"/>
    </xf>
    <xf numFmtId="0" fontId="17" fillId="0" borderId="0" xfId="0" applyFont="1" applyAlignment="1">
      <alignment vertical="center" wrapText="1"/>
    </xf>
    <xf numFmtId="0" fontId="17" fillId="0" borderId="1" xfId="0" applyFont="1" applyBorder="1" applyAlignment="1">
      <alignment vertical="center" wrapText="1"/>
    </xf>
    <xf numFmtId="0" fontId="0" fillId="0" borderId="1" xfId="0" applyBorder="1" applyAlignment="1">
      <alignment vertical="center" wrapText="1"/>
    </xf>
    <xf numFmtId="166" fontId="18" fillId="5" borderId="1" xfId="0" applyNumberFormat="1" applyFont="1" applyFill="1" applyBorder="1" applyAlignment="1">
      <alignment horizontal="center" vertical="center"/>
    </xf>
    <xf numFmtId="3" fontId="8" fillId="16"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6" xfId="0" applyBorder="1"/>
    <xf numFmtId="0" fontId="0" fillId="0" borderId="9" xfId="0" applyBorder="1"/>
    <xf numFmtId="0" fontId="6" fillId="0" borderId="1" xfId="0" applyFont="1" applyBorder="1" applyAlignment="1">
      <alignment horizontal="center" vertical="center" wrapText="1"/>
    </xf>
    <xf numFmtId="0" fontId="0" fillId="0" borderId="3" xfId="0" applyBorder="1"/>
    <xf numFmtId="0" fontId="3" fillId="0" borderId="1" xfId="0" applyFont="1" applyBorder="1" applyAlignment="1">
      <alignment horizontal="center"/>
    </xf>
    <xf numFmtId="0" fontId="0" fillId="0" borderId="2" xfId="0" applyBorder="1"/>
    <xf numFmtId="0" fontId="4" fillId="2" borderId="1" xfId="0" applyFont="1" applyFill="1" applyBorder="1" applyAlignment="1">
      <alignment horizontal="center" wrapText="1"/>
    </xf>
    <xf numFmtId="0" fontId="5" fillId="0" borderId="1" xfId="0" applyFont="1" applyBorder="1" applyAlignment="1">
      <alignment horizontal="center"/>
    </xf>
    <xf numFmtId="0" fontId="6" fillId="3" borderId="1" xfId="0" applyFont="1" applyFill="1" applyBorder="1" applyAlignment="1">
      <alignment horizontal="center" vertical="center" wrapText="1"/>
    </xf>
    <xf numFmtId="0" fontId="0" fillId="0" borderId="1" xfId="0" applyBorder="1"/>
    <xf numFmtId="168" fontId="13" fillId="12" borderId="10" xfId="1" applyNumberFormat="1" applyFont="1" applyFill="1" applyBorder="1" applyAlignment="1">
      <alignment horizontal="center" vertical="center" wrapText="1"/>
    </xf>
    <xf numFmtId="168" fontId="13" fillId="12" borderId="6" xfId="1" applyNumberFormat="1" applyFont="1" applyFill="1" applyBorder="1" applyAlignment="1">
      <alignment horizontal="center" vertical="center" wrapText="1"/>
    </xf>
    <xf numFmtId="168" fontId="13" fillId="12" borderId="9" xfId="1"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15" fillId="0" borderId="3" xfId="0" applyFont="1" applyBorder="1"/>
    <xf numFmtId="0" fontId="11" fillId="11" borderId="10" xfId="0" applyFont="1" applyFill="1" applyBorder="1" applyAlignment="1">
      <alignment horizontal="center" vertical="center" wrapText="1"/>
    </xf>
    <xf numFmtId="0" fontId="11" fillId="11" borderId="6" xfId="0" applyFont="1" applyFill="1" applyBorder="1" applyAlignment="1">
      <alignment horizontal="center" vertical="center" wrapText="1"/>
    </xf>
    <xf numFmtId="0" fontId="11" fillId="11" borderId="9" xfId="0" applyFont="1" applyFill="1" applyBorder="1" applyAlignment="1">
      <alignment horizontal="center" vertical="center" wrapText="1"/>
    </xf>
    <xf numFmtId="165" fontId="5" fillId="4" borderId="1" xfId="0" applyNumberFormat="1" applyFont="1" applyFill="1" applyBorder="1" applyAlignment="1">
      <alignment horizontal="center" vertical="center" wrapText="1"/>
    </xf>
    <xf numFmtId="0" fontId="15" fillId="0" borderId="4" xfId="0" applyFont="1" applyBorder="1"/>
    <xf numFmtId="0" fontId="15" fillId="0" borderId="7" xfId="0" applyFont="1" applyBorder="1"/>
    <xf numFmtId="0" fontId="15" fillId="0" borderId="8" xfId="0" applyFont="1" applyBorder="1"/>
    <xf numFmtId="0" fontId="6" fillId="3" borderId="5" xfId="0" applyFont="1" applyFill="1" applyBorder="1" applyAlignment="1">
      <alignment horizontal="center" vertical="center" wrapText="1"/>
    </xf>
    <xf numFmtId="0" fontId="6" fillId="3" borderId="3" xfId="0" applyFont="1" applyFill="1" applyBorder="1" applyAlignment="1">
      <alignment horizontal="center" vertical="center" wrapText="1"/>
    </xf>
    <xf numFmtId="165" fontId="6" fillId="3" borderId="5" xfId="0" applyNumberFormat="1" applyFont="1" applyFill="1" applyBorder="1" applyAlignment="1">
      <alignment horizontal="center" vertical="center" wrapText="1"/>
    </xf>
    <xf numFmtId="165" fontId="6" fillId="3" borderId="3" xfId="0" applyNumberFormat="1" applyFont="1" applyFill="1" applyBorder="1" applyAlignment="1">
      <alignment horizontal="center" vertical="center" wrapText="1"/>
    </xf>
    <xf numFmtId="0" fontId="11" fillId="14" borderId="10" xfId="0" applyFont="1" applyFill="1" applyBorder="1" applyAlignment="1">
      <alignment horizontal="center" vertical="center" wrapText="1"/>
    </xf>
    <xf numFmtId="0" fontId="11" fillId="14" borderId="6" xfId="0" applyFont="1" applyFill="1" applyBorder="1" applyAlignment="1">
      <alignment horizontal="center" vertical="center" wrapText="1"/>
    </xf>
    <xf numFmtId="0" fontId="11" fillId="14" borderId="9"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17" borderId="1" xfId="0" applyFont="1" applyFill="1" applyBorder="1" applyAlignment="1">
      <alignment horizontal="left" vertical="top" wrapText="1"/>
    </xf>
    <xf numFmtId="0" fontId="9" fillId="16" borderId="1" xfId="0" applyFont="1" applyFill="1" applyBorder="1" applyAlignment="1">
      <alignment horizontal="left" vertical="top"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1491343</xdr:colOff>
      <xdr:row>0</xdr:row>
      <xdr:rowOff>43542</xdr:rowOff>
    </xdr:from>
    <xdr:to>
      <xdr:col>2</xdr:col>
      <xdr:colOff>2253343</xdr:colOff>
      <xdr:row>1</xdr:row>
      <xdr:rowOff>3537</xdr:rowOff>
    </xdr:to>
    <xdr:pic>
      <xdr:nvPicPr>
        <xdr:cNvPr id="2" name="gráficos1">
          <a:extLst>
            <a:ext uri="{FF2B5EF4-FFF2-40B4-BE49-F238E27FC236}">
              <a16:creationId xmlns:a16="http://schemas.microsoft.com/office/drawing/2014/main" id="{B6FA1B1B-205E-46BE-B897-51564D169B4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50623" y="43542"/>
          <a:ext cx="762000" cy="340995"/>
        </a:xfrm>
        <a:prstGeom prst="rect">
          <a:avLst/>
        </a:prstGeom>
        <a:solidFill>
          <a:srgbClr val="FFFFFF"/>
        </a:solidFill>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6"/>
  <sheetViews>
    <sheetView tabSelected="1" topLeftCell="AW95" zoomScale="70" zoomScaleNormal="70" workbookViewId="0">
      <selection activeCell="C81" sqref="C81"/>
    </sheetView>
  </sheetViews>
  <sheetFormatPr baseColWidth="10" defaultColWidth="8.6640625" defaultRowHeight="14.4" x14ac:dyDescent="0.3"/>
  <cols>
    <col min="1" max="1" width="8.109375" customWidth="1"/>
    <col min="2" max="2" width="19" customWidth="1"/>
    <col min="3" max="3" width="46.5546875" customWidth="1"/>
    <col min="4" max="4" width="18.33203125" customWidth="1"/>
    <col min="5" max="5" width="12.44140625" customWidth="1"/>
    <col min="6" max="6" width="18.44140625" customWidth="1"/>
    <col min="7" max="7" width="19.77734375" bestFit="1" customWidth="1"/>
    <col min="8" max="8" width="16.44140625" bestFit="1" customWidth="1"/>
    <col min="9" max="9" width="17.5546875" bestFit="1" customWidth="1"/>
    <col min="10" max="10" width="16.44140625" bestFit="1" customWidth="1"/>
    <col min="11" max="11" width="17.5546875" bestFit="1" customWidth="1"/>
    <col min="12" max="12" width="17.21875" bestFit="1" customWidth="1"/>
    <col min="13" max="13" width="17.109375" customWidth="1"/>
    <col min="14" max="14" width="16.88671875" bestFit="1" customWidth="1"/>
    <col min="15" max="15" width="17.33203125" bestFit="1" customWidth="1"/>
    <col min="16" max="16" width="16.44140625" bestFit="1" customWidth="1"/>
    <col min="17" max="17" width="16.5546875" bestFit="1" customWidth="1"/>
    <col min="18" max="18" width="15.44140625" customWidth="1"/>
    <col min="19" max="19" width="16.109375" bestFit="1" customWidth="1"/>
    <col min="20" max="20" width="14.33203125" customWidth="1"/>
    <col min="21" max="21" width="13" customWidth="1"/>
    <col min="22" max="22" width="14.33203125" customWidth="1"/>
    <col min="23" max="23" width="13" customWidth="1"/>
    <col min="24" max="24" width="14.33203125" hidden="1" customWidth="1"/>
    <col min="25" max="25" width="13" hidden="1" customWidth="1"/>
    <col min="26" max="26" width="14.33203125" hidden="1" customWidth="1"/>
    <col min="27" max="27" width="13" hidden="1" customWidth="1"/>
    <col min="28" max="28" width="14.33203125" hidden="1" customWidth="1"/>
    <col min="29" max="29" width="13" hidden="1" customWidth="1"/>
    <col min="30" max="30" width="17.109375" customWidth="1"/>
    <col min="31" max="31" width="16.21875" bestFit="1" customWidth="1"/>
    <col min="32" max="32" width="15.21875" customWidth="1"/>
    <col min="33" max="33" width="14.21875" customWidth="1"/>
    <col min="34" max="34" width="14.77734375" bestFit="1" customWidth="1"/>
    <col min="35" max="35" width="14.21875" bestFit="1" customWidth="1"/>
    <col min="36" max="36" width="14.33203125" customWidth="1"/>
    <col min="37" max="37" width="15.21875" customWidth="1"/>
    <col min="38" max="38" width="10.88671875" bestFit="1" customWidth="1"/>
    <col min="39" max="39" width="11.6640625" bestFit="1" customWidth="1"/>
    <col min="40" max="40" width="12.6640625" customWidth="1"/>
    <col min="43" max="44" width="8.6640625" style="2"/>
    <col min="45" max="45" width="18.33203125" customWidth="1"/>
    <col min="46" max="46" width="16.21875" bestFit="1" customWidth="1"/>
    <col min="47" max="47" width="22.33203125" bestFit="1" customWidth="1"/>
    <col min="48" max="48" width="17.21875" bestFit="1" customWidth="1"/>
    <col min="49" max="49" width="23.109375" customWidth="1"/>
    <col min="50" max="50" width="22.77734375" bestFit="1" customWidth="1"/>
    <col min="51" max="51" width="26.44140625" customWidth="1"/>
  </cols>
  <sheetData>
    <row r="1" spans="1:51" ht="30" customHeight="1" x14ac:dyDescent="0.3">
      <c r="A1" s="50"/>
      <c r="B1" s="51"/>
      <c r="C1" s="51"/>
      <c r="D1" s="51"/>
      <c r="E1" s="51"/>
      <c r="F1" s="51"/>
      <c r="G1" s="49"/>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1" ht="27.75" customHeight="1" x14ac:dyDescent="0.3">
      <c r="A2" s="52" t="s">
        <v>0</v>
      </c>
      <c r="B2" s="51"/>
      <c r="C2" s="51"/>
      <c r="D2" s="51"/>
      <c r="E2" s="51"/>
      <c r="F2" s="51"/>
      <c r="G2" s="49"/>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1" ht="15" customHeight="1" x14ac:dyDescent="0.3">
      <c r="A3" s="53" t="s">
        <v>1</v>
      </c>
      <c r="B3" s="51"/>
      <c r="C3" s="51"/>
      <c r="D3" s="51"/>
      <c r="E3" s="51"/>
      <c r="F3" s="51"/>
      <c r="G3" s="49"/>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spans="1:51" ht="57.6" customHeight="1" x14ac:dyDescent="0.3">
      <c r="A4" s="54" t="s">
        <v>2</v>
      </c>
      <c r="B4" s="55"/>
      <c r="C4" s="55"/>
      <c r="D4" s="55"/>
      <c r="E4" s="55"/>
      <c r="F4" s="48" t="s">
        <v>3</v>
      </c>
      <c r="G4" s="49"/>
      <c r="H4" s="48" t="s">
        <v>4</v>
      </c>
      <c r="I4" s="49"/>
      <c r="J4" s="48" t="s">
        <v>5</v>
      </c>
      <c r="K4" s="49"/>
      <c r="L4" s="48" t="s">
        <v>6</v>
      </c>
      <c r="M4" s="49"/>
      <c r="N4" s="48" t="s">
        <v>7</v>
      </c>
      <c r="O4" s="49"/>
      <c r="P4" s="48" t="s">
        <v>8</v>
      </c>
      <c r="Q4" s="49"/>
      <c r="R4" s="48" t="s">
        <v>9</v>
      </c>
      <c r="S4" s="49"/>
      <c r="T4" s="48" t="s">
        <v>10</v>
      </c>
      <c r="U4" s="49"/>
      <c r="V4" s="48" t="s">
        <v>11</v>
      </c>
      <c r="W4" s="49"/>
      <c r="X4" s="48" t="s">
        <v>12</v>
      </c>
      <c r="Y4" s="49"/>
      <c r="Z4" s="48" t="s">
        <v>13</v>
      </c>
      <c r="AA4" s="49"/>
      <c r="AB4" s="48" t="s">
        <v>14</v>
      </c>
      <c r="AC4" s="49"/>
      <c r="AD4" s="72" t="s">
        <v>15</v>
      </c>
      <c r="AE4" s="72" t="s">
        <v>16</v>
      </c>
      <c r="AF4" s="72" t="s">
        <v>17</v>
      </c>
      <c r="AG4" s="72" t="s">
        <v>18</v>
      </c>
      <c r="AH4" s="72" t="s">
        <v>19</v>
      </c>
      <c r="AI4" s="72" t="s">
        <v>20</v>
      </c>
      <c r="AJ4" s="45" t="str">
        <f>IF(F5&lt;&gt;"",F5,"")</f>
        <v>ADMIPENSIONES S.A.S</v>
      </c>
      <c r="AK4" s="45" t="str">
        <f>IF(H5&lt;&gt;"",H5,"")</f>
        <v>CORPORACIÓN COLOMBIANA DE AGRICULTURA URBANA Y CONSERVACIÓN DEL AMBIENTE CORAMBIENTAL</v>
      </c>
      <c r="AL4" s="45" t="str">
        <f>IF(J5&lt;&gt;"",J5,"")</f>
        <v>LFA GROUP SAS</v>
      </c>
      <c r="AM4" s="45" t="str">
        <f>IF(L5&lt;&gt;"",L5,"")</f>
        <v>PRECIO TECHO PARA CONTRATAR PRESENTE EN EL NUMERAL 1.2 FORMATO ESTUDIO DE MERCADO OPERADOR LOGÍSTICO DEL PROCESO DE CONTRATACIÓN FDLCH-SAMC-005-2026 PUBLICADO EN EL SECOP</v>
      </c>
      <c r="AN4" s="45" t="str">
        <f>IF(N5&lt;&gt;"",N5,"")</f>
        <v>RESOLUCIÓN SECRETARÍA DE GOBIERNO 20254000321923</v>
      </c>
      <c r="AO4" s="45" t="str">
        <f>IF(P5&lt;&gt;"",P5,"")</f>
        <v>CREATIVO DESIGN</v>
      </c>
      <c r="AP4" s="45" t="str">
        <f>IF(R5&lt;&gt;"",R5,"")</f>
        <v xml:space="preserve">SAP PUBLICIDAD SAS  </v>
      </c>
      <c r="AQ4" s="45" t="str">
        <f>IF(T5&lt;&gt;"",T5,"")</f>
        <v>ASOCIACIÓN COORDINADORA CÍVICA NACIONAL COORDINA</v>
      </c>
      <c r="AR4" s="45" t="str">
        <f>IF(V5&lt;&gt;"",V5,"")</f>
        <v>ACOSTA ÁNGEL ABOGADOS  ASESORES Y CONSULTORES SAS</v>
      </c>
      <c r="AS4" s="61" t="s">
        <v>15</v>
      </c>
      <c r="AT4" s="61" t="s">
        <v>16</v>
      </c>
      <c r="AU4" s="61" t="s">
        <v>17</v>
      </c>
      <c r="AV4" s="61" t="s">
        <v>18</v>
      </c>
      <c r="AW4" s="56" t="s">
        <v>21</v>
      </c>
      <c r="AX4" s="56" t="s">
        <v>22</v>
      </c>
      <c r="AY4" s="56" t="s">
        <v>183</v>
      </c>
    </row>
    <row r="5" spans="1:51" ht="63.6" customHeight="1" x14ac:dyDescent="0.3">
      <c r="A5" s="55"/>
      <c r="B5" s="55"/>
      <c r="C5" s="55"/>
      <c r="D5" s="55"/>
      <c r="E5" s="55"/>
      <c r="F5" s="59" t="s">
        <v>23</v>
      </c>
      <c r="G5" s="60"/>
      <c r="H5" s="59" t="s">
        <v>24</v>
      </c>
      <c r="I5" s="60"/>
      <c r="J5" s="59" t="s">
        <v>25</v>
      </c>
      <c r="K5" s="60"/>
      <c r="L5" s="75" t="s">
        <v>190</v>
      </c>
      <c r="M5" s="76"/>
      <c r="N5" s="59" t="s">
        <v>191</v>
      </c>
      <c r="O5" s="65"/>
      <c r="P5" s="68" t="s">
        <v>26</v>
      </c>
      <c r="Q5" s="69"/>
      <c r="R5" s="68" t="s">
        <v>27</v>
      </c>
      <c r="S5" s="69"/>
      <c r="T5" s="59" t="s">
        <v>192</v>
      </c>
      <c r="U5" s="49"/>
      <c r="V5" s="59" t="s">
        <v>193</v>
      </c>
      <c r="W5" s="49"/>
      <c r="X5" s="59" t="s">
        <v>28</v>
      </c>
      <c r="Y5" s="49"/>
      <c r="Z5" s="59" t="s">
        <v>28</v>
      </c>
      <c r="AA5" s="49"/>
      <c r="AB5" s="59" t="s">
        <v>28</v>
      </c>
      <c r="AC5" s="49"/>
      <c r="AD5" s="73"/>
      <c r="AE5" s="73" t="s">
        <v>16</v>
      </c>
      <c r="AF5" s="73" t="s">
        <v>17</v>
      </c>
      <c r="AG5" s="73" t="s">
        <v>18</v>
      </c>
      <c r="AH5" s="73" t="s">
        <v>19</v>
      </c>
      <c r="AI5" s="73" t="s">
        <v>20</v>
      </c>
      <c r="AJ5" s="46"/>
      <c r="AK5" s="46"/>
      <c r="AL5" s="46"/>
      <c r="AM5" s="46"/>
      <c r="AN5" s="46"/>
      <c r="AO5" s="46"/>
      <c r="AP5" s="46"/>
      <c r="AQ5" s="46"/>
      <c r="AR5" s="46"/>
      <c r="AS5" s="62"/>
      <c r="AT5" s="62" t="s">
        <v>16</v>
      </c>
      <c r="AU5" s="62" t="s">
        <v>17</v>
      </c>
      <c r="AV5" s="62" t="s">
        <v>18</v>
      </c>
      <c r="AW5" s="57"/>
      <c r="AX5" s="57"/>
      <c r="AY5" s="57"/>
    </row>
    <row r="6" spans="1:51" ht="55.8" customHeight="1" x14ac:dyDescent="0.3">
      <c r="A6" s="55"/>
      <c r="B6" s="55"/>
      <c r="C6" s="55"/>
      <c r="D6" s="55"/>
      <c r="E6" s="55"/>
      <c r="F6" s="64" t="s">
        <v>29</v>
      </c>
      <c r="G6" s="60"/>
      <c r="H6" s="64" t="s">
        <v>30</v>
      </c>
      <c r="I6" s="60"/>
      <c r="J6" s="64" t="s">
        <v>31</v>
      </c>
      <c r="K6" s="60"/>
      <c r="L6" s="77"/>
      <c r="M6" s="78"/>
      <c r="N6" s="66"/>
      <c r="O6" s="67"/>
      <c r="P6" s="70">
        <v>1033693788</v>
      </c>
      <c r="Q6" s="71"/>
      <c r="R6" s="70" t="s">
        <v>32</v>
      </c>
      <c r="S6" s="71"/>
      <c r="T6" s="64" t="s">
        <v>188</v>
      </c>
      <c r="U6" s="49"/>
      <c r="V6" s="64" t="s">
        <v>189</v>
      </c>
      <c r="W6" s="49"/>
      <c r="X6" s="64" t="s">
        <v>33</v>
      </c>
      <c r="Y6" s="49"/>
      <c r="Z6" s="64" t="s">
        <v>33</v>
      </c>
      <c r="AA6" s="49"/>
      <c r="AB6" s="64" t="s">
        <v>33</v>
      </c>
      <c r="AC6" s="49"/>
      <c r="AD6" s="73"/>
      <c r="AE6" s="73" t="s">
        <v>16</v>
      </c>
      <c r="AF6" s="73" t="s">
        <v>17</v>
      </c>
      <c r="AG6" s="73" t="s">
        <v>18</v>
      </c>
      <c r="AH6" s="73" t="s">
        <v>19</v>
      </c>
      <c r="AI6" s="73" t="s">
        <v>20</v>
      </c>
      <c r="AJ6" s="46"/>
      <c r="AK6" s="46"/>
      <c r="AL6" s="46"/>
      <c r="AM6" s="46"/>
      <c r="AN6" s="46"/>
      <c r="AO6" s="46"/>
      <c r="AP6" s="46"/>
      <c r="AQ6" s="46"/>
      <c r="AR6" s="46"/>
      <c r="AS6" s="62"/>
      <c r="AT6" s="62" t="s">
        <v>16</v>
      </c>
      <c r="AU6" s="62" t="s">
        <v>17</v>
      </c>
      <c r="AV6" s="62" t="s">
        <v>18</v>
      </c>
      <c r="AW6" s="57"/>
      <c r="AX6" s="57"/>
      <c r="AY6" s="57"/>
    </row>
    <row r="7" spans="1:51" ht="37.5" customHeight="1" x14ac:dyDescent="0.3">
      <c r="A7" s="3" t="s">
        <v>34</v>
      </c>
      <c r="B7" s="3" t="s">
        <v>35</v>
      </c>
      <c r="C7" s="3" t="s">
        <v>36</v>
      </c>
      <c r="D7" s="3" t="s">
        <v>37</v>
      </c>
      <c r="E7" s="4" t="s">
        <v>38</v>
      </c>
      <c r="F7" s="3" t="s">
        <v>39</v>
      </c>
      <c r="G7" s="3" t="s">
        <v>40</v>
      </c>
      <c r="H7" s="3" t="s">
        <v>39</v>
      </c>
      <c r="I7" s="3" t="s">
        <v>40</v>
      </c>
      <c r="J7" s="3" t="s">
        <v>39</v>
      </c>
      <c r="K7" s="3" t="s">
        <v>40</v>
      </c>
      <c r="L7" s="3" t="s">
        <v>39</v>
      </c>
      <c r="M7" s="3" t="s">
        <v>40</v>
      </c>
      <c r="N7" s="3" t="s">
        <v>39</v>
      </c>
      <c r="O7" s="3" t="s">
        <v>40</v>
      </c>
      <c r="P7" s="3" t="s">
        <v>39</v>
      </c>
      <c r="Q7" s="3" t="s">
        <v>40</v>
      </c>
      <c r="R7" s="3" t="s">
        <v>39</v>
      </c>
      <c r="S7" s="3" t="s">
        <v>40</v>
      </c>
      <c r="T7" s="3" t="s">
        <v>39</v>
      </c>
      <c r="U7" s="3" t="s">
        <v>40</v>
      </c>
      <c r="V7" s="3" t="s">
        <v>39</v>
      </c>
      <c r="W7" s="3" t="s">
        <v>40</v>
      </c>
      <c r="X7" s="3" t="s">
        <v>39</v>
      </c>
      <c r="Y7" s="3" t="s">
        <v>40</v>
      </c>
      <c r="Z7" s="3" t="s">
        <v>39</v>
      </c>
      <c r="AA7" s="3" t="s">
        <v>40</v>
      </c>
      <c r="AB7" s="3" t="s">
        <v>39</v>
      </c>
      <c r="AC7" s="3" t="s">
        <v>40</v>
      </c>
      <c r="AD7" s="74"/>
      <c r="AE7" s="74" t="s">
        <v>16</v>
      </c>
      <c r="AF7" s="74" t="s">
        <v>17</v>
      </c>
      <c r="AG7" s="74" t="s">
        <v>18</v>
      </c>
      <c r="AH7" s="74" t="s">
        <v>19</v>
      </c>
      <c r="AI7" s="74" t="s">
        <v>20</v>
      </c>
      <c r="AJ7" s="47"/>
      <c r="AK7" s="47"/>
      <c r="AL7" s="47"/>
      <c r="AM7" s="47"/>
      <c r="AN7" s="47"/>
      <c r="AO7" s="47"/>
      <c r="AP7" s="47"/>
      <c r="AQ7" s="47"/>
      <c r="AR7" s="47"/>
      <c r="AS7" s="63"/>
      <c r="AT7" s="63" t="s">
        <v>16</v>
      </c>
      <c r="AU7" s="63" t="s">
        <v>17</v>
      </c>
      <c r="AV7" s="63" t="s">
        <v>18</v>
      </c>
      <c r="AW7" s="58"/>
      <c r="AX7" s="58"/>
      <c r="AY7" s="58"/>
    </row>
    <row r="8" spans="1:51" ht="154.80000000000001" customHeight="1" x14ac:dyDescent="0.3">
      <c r="A8" s="5">
        <v>1</v>
      </c>
      <c r="B8" s="6" t="s">
        <v>41</v>
      </c>
      <c r="C8" s="7" t="s">
        <v>42</v>
      </c>
      <c r="D8" s="5" t="s">
        <v>43</v>
      </c>
      <c r="E8" s="8">
        <f>240+390</f>
        <v>630</v>
      </c>
      <c r="F8" s="9">
        <v>5950</v>
      </c>
      <c r="G8" s="10">
        <f t="shared" ref="G8:G39" si="0">+$E8*F8</f>
        <v>3748500</v>
      </c>
      <c r="H8" s="9">
        <v>6250</v>
      </c>
      <c r="I8" s="10">
        <f t="shared" ref="I8:I39" si="1">+$E8*H8</f>
        <v>3937500</v>
      </c>
      <c r="J8" s="9">
        <v>6100</v>
      </c>
      <c r="K8" s="10">
        <f t="shared" ref="K8:K39" si="2">+$E8*J8</f>
        <v>3843000</v>
      </c>
      <c r="L8" s="9"/>
      <c r="M8" s="10">
        <f t="shared" ref="M8:M39" si="3">+$E8*L8</f>
        <v>0</v>
      </c>
      <c r="N8" s="9"/>
      <c r="O8" s="10">
        <f t="shared" ref="O8:O72" si="4">+$E8*N8</f>
        <v>0</v>
      </c>
      <c r="P8" s="9"/>
      <c r="Q8" s="10">
        <f t="shared" ref="Q8:Q72" si="5">+$E8*P8</f>
        <v>0</v>
      </c>
      <c r="R8" s="9"/>
      <c r="S8" s="10">
        <f t="shared" ref="S8:S72" si="6">+$E8*R8</f>
        <v>0</v>
      </c>
      <c r="T8" s="9"/>
      <c r="U8" s="10">
        <f t="shared" ref="U8:U72" si="7">+$E8*T8</f>
        <v>0</v>
      </c>
      <c r="V8" s="9"/>
      <c r="W8" s="10">
        <f t="shared" ref="W8:W72" si="8">+$E8*V8</f>
        <v>0</v>
      </c>
      <c r="X8" s="9"/>
      <c r="Y8" s="10">
        <f t="shared" ref="Y8:Y72" si="9">+$E8*X8</f>
        <v>0</v>
      </c>
      <c r="Z8" s="9"/>
      <c r="AA8" s="10">
        <f t="shared" ref="AA8:AA72" si="10">+$E8*Z8</f>
        <v>0</v>
      </c>
      <c r="AB8" s="9"/>
      <c r="AC8" s="10">
        <f t="shared" ref="AC8:AC72" si="11">+$E8*AB8</f>
        <v>0</v>
      </c>
      <c r="AD8" s="31">
        <f t="shared" ref="AD8:AD39" si="12">IFERROR(MEDIAN($F8,$H8,$J8,$L8,$N8,$P8,$R8,$T8,$V8,$X8,$Z8,$AB8),"")</f>
        <v>6100</v>
      </c>
      <c r="AE8" s="31">
        <f t="shared" ref="AE8:AE39" si="13">IFERROR(AVERAGE($F8,$H8,$J8,$L8,$N8,$P8,$R8,$T8,$V8,$X8,$Z8,$AB8),"")</f>
        <v>6100</v>
      </c>
      <c r="AF8" s="31">
        <f t="shared" ref="AF8:AF39" si="14">IFERROR(STDEV($F8,$H8,$J8,$L8,$N8,$P8,$R8,$T8,$V8,$X8,$Z8,$AB8),"")</f>
        <v>150</v>
      </c>
      <c r="AG8" s="32">
        <f>IFERROR((AF8/AE8)*100%,"")</f>
        <v>2.4590163934426229E-2</v>
      </c>
      <c r="AH8" s="31">
        <f>IFERROR(AE8+AF8,"")</f>
        <v>6250</v>
      </c>
      <c r="AI8" s="31">
        <f>IFERROR(AE8-AF8,"")</f>
        <v>5950</v>
      </c>
      <c r="AJ8" s="13">
        <f t="shared" ref="AJ8:AJ39" si="15">IF(AND(F8&lt;=$AH8,F8&gt;=$AI8),F8,"")</f>
        <v>5950</v>
      </c>
      <c r="AK8" s="13">
        <f t="shared" ref="AK8:AK39" si="16">IF(AND(H8&lt;=$AH8,H8&gt;=$AI8),H8,"")</f>
        <v>6250</v>
      </c>
      <c r="AL8" s="13">
        <f t="shared" ref="AL8:AL39" si="17">IF(AND(J8&lt;=$AH8,J8&gt;=$AI8),J8,"")</f>
        <v>6100</v>
      </c>
      <c r="AM8" s="13" t="str">
        <f t="shared" ref="AM8:AM39" si="18">IF(AND(L8&lt;=$AH8,L8&gt;=$AI8),L8,"")</f>
        <v/>
      </c>
      <c r="AN8" s="13" t="str">
        <f t="shared" ref="AN8:AN39" si="19">IF(AND(N8&lt;=$AH8,N8&gt;=$AI8),N8,"")</f>
        <v/>
      </c>
      <c r="AO8" s="13" t="str">
        <f t="shared" ref="AO8:AO39" si="20">IF(AND(P8&lt;=$AH8,P8&gt;=$AI8),P8,"")</f>
        <v/>
      </c>
      <c r="AP8" s="13" t="str">
        <f t="shared" ref="AP8:AP39" si="21">IF(AND(R8&lt;=$AH8,R8&gt;=$AI8),R8,"")</f>
        <v/>
      </c>
      <c r="AQ8" s="13"/>
      <c r="AR8" s="13"/>
      <c r="AS8" s="29">
        <f>MEDIAN(AJ8:AR8)</f>
        <v>6100</v>
      </c>
      <c r="AT8" s="29">
        <f>AVERAGE(AJ8:AR8)</f>
        <v>6100</v>
      </c>
      <c r="AU8" s="29">
        <f>STDEV(AJ8:AR8)</f>
        <v>150</v>
      </c>
      <c r="AV8" s="30">
        <f>IFERROR((AU8/AT8)*100%,"")</f>
        <v>2.4590163934426229E-2</v>
      </c>
      <c r="AW8" s="31">
        <f>+ROUND(+IFERROR(AVERAGEIF(AJ8:AR8,"&lt;&gt;q"),"q"),0)</f>
        <v>6100</v>
      </c>
      <c r="AX8" s="31">
        <f t="shared" ref="AX8:AX39" si="22">AW8*E8</f>
        <v>3843000</v>
      </c>
      <c r="AY8" s="34" t="s">
        <v>187</v>
      </c>
    </row>
    <row r="9" spans="1:51" ht="63.75" customHeight="1" x14ac:dyDescent="0.3">
      <c r="A9" s="5">
        <v>2</v>
      </c>
      <c r="B9" s="6" t="s">
        <v>44</v>
      </c>
      <c r="C9" s="7" t="s">
        <v>224</v>
      </c>
      <c r="D9" s="5" t="s">
        <v>43</v>
      </c>
      <c r="E9" s="8">
        <f>24+102</f>
        <v>126</v>
      </c>
      <c r="F9" s="9">
        <v>4760</v>
      </c>
      <c r="G9" s="14">
        <f t="shared" si="0"/>
        <v>599760</v>
      </c>
      <c r="H9" s="9">
        <v>4760</v>
      </c>
      <c r="I9" s="14">
        <f t="shared" si="1"/>
        <v>599760</v>
      </c>
      <c r="J9" s="9">
        <v>4830</v>
      </c>
      <c r="K9" s="14">
        <f t="shared" si="2"/>
        <v>608580</v>
      </c>
      <c r="L9" s="9"/>
      <c r="M9" s="14">
        <f t="shared" si="3"/>
        <v>0</v>
      </c>
      <c r="N9" s="9"/>
      <c r="O9" s="14">
        <f t="shared" si="4"/>
        <v>0</v>
      </c>
      <c r="P9" s="9"/>
      <c r="Q9" s="14">
        <f t="shared" si="5"/>
        <v>0</v>
      </c>
      <c r="R9" s="9"/>
      <c r="S9" s="14">
        <f t="shared" si="6"/>
        <v>0</v>
      </c>
      <c r="T9" s="9"/>
      <c r="U9" s="14">
        <f t="shared" si="7"/>
        <v>0</v>
      </c>
      <c r="V9" s="9"/>
      <c r="W9" s="14">
        <f t="shared" si="8"/>
        <v>0</v>
      </c>
      <c r="X9" s="9"/>
      <c r="Y9" s="14">
        <f t="shared" si="9"/>
        <v>0</v>
      </c>
      <c r="Z9" s="9"/>
      <c r="AA9" s="14">
        <f t="shared" si="10"/>
        <v>0</v>
      </c>
      <c r="AB9" s="9"/>
      <c r="AC9" s="14">
        <f t="shared" si="11"/>
        <v>0</v>
      </c>
      <c r="AD9" s="31">
        <f t="shared" si="12"/>
        <v>4760</v>
      </c>
      <c r="AE9" s="31">
        <f t="shared" si="13"/>
        <v>4783.333333333333</v>
      </c>
      <c r="AF9" s="31">
        <f t="shared" si="14"/>
        <v>40.414518843273804</v>
      </c>
      <c r="AG9" s="32">
        <f t="shared" ref="AG9:AG73" si="23">IFERROR((AF9/AE9)*100%,"")</f>
        <v>8.4490283296042804E-3</v>
      </c>
      <c r="AH9" s="31">
        <f t="shared" ref="AH9:AH73" si="24">IFERROR(AE9+AF9,"")</f>
        <v>4823.747852176607</v>
      </c>
      <c r="AI9" s="31">
        <f t="shared" ref="AI9:AI73" si="25">IFERROR(AE9-AF9,"")</f>
        <v>4742.918814490059</v>
      </c>
      <c r="AJ9" s="13">
        <f t="shared" si="15"/>
        <v>4760</v>
      </c>
      <c r="AK9" s="13">
        <f t="shared" si="16"/>
        <v>4760</v>
      </c>
      <c r="AL9" s="13" t="str">
        <f t="shared" si="17"/>
        <v/>
      </c>
      <c r="AM9" s="13" t="str">
        <f t="shared" si="18"/>
        <v/>
      </c>
      <c r="AN9" s="13" t="str">
        <f t="shared" si="19"/>
        <v/>
      </c>
      <c r="AO9" s="13" t="str">
        <f t="shared" si="20"/>
        <v/>
      </c>
      <c r="AP9" s="13" t="str">
        <f t="shared" si="21"/>
        <v/>
      </c>
      <c r="AQ9" s="13"/>
      <c r="AR9" s="13"/>
      <c r="AS9" s="29">
        <f t="shared" ref="AS9:AS72" si="26">MEDIAN(AJ9:AR9)</f>
        <v>4760</v>
      </c>
      <c r="AT9" s="29">
        <f t="shared" ref="AT9:AT72" si="27">AVERAGE(AJ9:AR9)</f>
        <v>4760</v>
      </c>
      <c r="AU9" s="29">
        <f t="shared" ref="AU9:AU72" si="28">STDEV(AJ9:AR9)</f>
        <v>0</v>
      </c>
      <c r="AV9" s="30">
        <f t="shared" ref="AV9:AV72" si="29">IFERROR((AU9/AT9)*100%,"")</f>
        <v>0</v>
      </c>
      <c r="AW9" s="31">
        <f t="shared" ref="AW9" si="30">+ROUND(+IFERROR(AVERAGEIF(AJ9:AR9,"&lt;&gt;q"),"q"),0)</f>
        <v>4760</v>
      </c>
      <c r="AX9" s="31">
        <f t="shared" si="22"/>
        <v>599760</v>
      </c>
      <c r="AY9" s="34" t="s">
        <v>187</v>
      </c>
    </row>
    <row r="10" spans="1:51" ht="75" customHeight="1" x14ac:dyDescent="0.3">
      <c r="A10" s="5">
        <v>3</v>
      </c>
      <c r="B10" s="6" t="s">
        <v>45</v>
      </c>
      <c r="C10" s="7" t="s">
        <v>46</v>
      </c>
      <c r="D10" s="5" t="s">
        <v>47</v>
      </c>
      <c r="E10" s="8">
        <f>6+25</f>
        <v>31</v>
      </c>
      <c r="F10" s="9">
        <v>47600</v>
      </c>
      <c r="G10" s="10">
        <f t="shared" si="0"/>
        <v>1475600</v>
      </c>
      <c r="H10" s="9">
        <v>48550</v>
      </c>
      <c r="I10" s="10">
        <f t="shared" si="1"/>
        <v>1505050</v>
      </c>
      <c r="J10" s="9">
        <v>45696</v>
      </c>
      <c r="K10" s="10">
        <f t="shared" si="2"/>
        <v>1416576</v>
      </c>
      <c r="L10" s="9"/>
      <c r="M10" s="10">
        <f t="shared" si="3"/>
        <v>0</v>
      </c>
      <c r="N10" s="9"/>
      <c r="O10" s="10">
        <f t="shared" si="4"/>
        <v>0</v>
      </c>
      <c r="P10" s="9"/>
      <c r="Q10" s="10">
        <f t="shared" si="5"/>
        <v>0</v>
      </c>
      <c r="R10" s="9"/>
      <c r="S10" s="10">
        <f t="shared" si="6"/>
        <v>0</v>
      </c>
      <c r="T10" s="9"/>
      <c r="U10" s="10">
        <f t="shared" si="7"/>
        <v>0</v>
      </c>
      <c r="V10" s="9"/>
      <c r="W10" s="10">
        <f t="shared" si="8"/>
        <v>0</v>
      </c>
      <c r="X10" s="9"/>
      <c r="Y10" s="10">
        <f t="shared" si="9"/>
        <v>0</v>
      </c>
      <c r="Z10" s="9"/>
      <c r="AA10" s="10">
        <f t="shared" si="10"/>
        <v>0</v>
      </c>
      <c r="AB10" s="9"/>
      <c r="AC10" s="10">
        <f t="shared" si="11"/>
        <v>0</v>
      </c>
      <c r="AD10" s="31">
        <f t="shared" si="12"/>
        <v>47600</v>
      </c>
      <c r="AE10" s="31">
        <f t="shared" si="13"/>
        <v>47282</v>
      </c>
      <c r="AF10" s="31">
        <f t="shared" si="14"/>
        <v>1453.3313455643899</v>
      </c>
      <c r="AG10" s="32">
        <f t="shared" si="23"/>
        <v>3.0737518412173554E-2</v>
      </c>
      <c r="AH10" s="31">
        <f t="shared" si="24"/>
        <v>48735.331345564387</v>
      </c>
      <c r="AI10" s="31">
        <f t="shared" si="25"/>
        <v>45828.668654435613</v>
      </c>
      <c r="AJ10" s="13">
        <f t="shared" si="15"/>
        <v>47600</v>
      </c>
      <c r="AK10" s="13">
        <f t="shared" si="16"/>
        <v>48550</v>
      </c>
      <c r="AL10" s="13" t="str">
        <f t="shared" si="17"/>
        <v/>
      </c>
      <c r="AM10" s="13" t="str">
        <f t="shared" si="18"/>
        <v/>
      </c>
      <c r="AN10" s="13" t="str">
        <f t="shared" si="19"/>
        <v/>
      </c>
      <c r="AO10" s="13" t="str">
        <f t="shared" si="20"/>
        <v/>
      </c>
      <c r="AP10" s="13" t="str">
        <f t="shared" si="21"/>
        <v/>
      </c>
      <c r="AQ10" s="13"/>
      <c r="AR10" s="13"/>
      <c r="AS10" s="29">
        <f t="shared" si="26"/>
        <v>48075</v>
      </c>
      <c r="AT10" s="29">
        <f t="shared" si="27"/>
        <v>48075</v>
      </c>
      <c r="AU10" s="29">
        <f t="shared" si="28"/>
        <v>671.75144212722012</v>
      </c>
      <c r="AV10" s="30">
        <f t="shared" si="29"/>
        <v>1.3972988915802811E-2</v>
      </c>
      <c r="AW10" s="31">
        <f>ROUND(AE10,0)</f>
        <v>47282</v>
      </c>
      <c r="AX10" s="31">
        <f t="shared" si="22"/>
        <v>1465742</v>
      </c>
      <c r="AY10" s="34" t="s">
        <v>186</v>
      </c>
    </row>
    <row r="11" spans="1:51" ht="51" customHeight="1" x14ac:dyDescent="0.3">
      <c r="A11" s="5">
        <v>4</v>
      </c>
      <c r="B11" s="6" t="s">
        <v>48</v>
      </c>
      <c r="C11" s="7" t="s">
        <v>49</v>
      </c>
      <c r="D11" s="5" t="s">
        <v>47</v>
      </c>
      <c r="E11" s="8">
        <f>6+31</f>
        <v>37</v>
      </c>
      <c r="F11" s="9">
        <v>24990</v>
      </c>
      <c r="G11" s="14">
        <f t="shared" si="0"/>
        <v>924630</v>
      </c>
      <c r="H11" s="9">
        <v>22610</v>
      </c>
      <c r="I11" s="14">
        <f t="shared" si="1"/>
        <v>836570</v>
      </c>
      <c r="J11" s="9">
        <v>25704</v>
      </c>
      <c r="K11" s="14">
        <f t="shared" si="2"/>
        <v>951048</v>
      </c>
      <c r="L11" s="9"/>
      <c r="M11" s="14">
        <f t="shared" si="3"/>
        <v>0</v>
      </c>
      <c r="N11" s="9"/>
      <c r="O11" s="14">
        <f t="shared" si="4"/>
        <v>0</v>
      </c>
      <c r="P11" s="9"/>
      <c r="Q11" s="14">
        <f t="shared" si="5"/>
        <v>0</v>
      </c>
      <c r="R11" s="9"/>
      <c r="S11" s="14">
        <f t="shared" si="6"/>
        <v>0</v>
      </c>
      <c r="T11" s="9"/>
      <c r="U11" s="14">
        <f t="shared" si="7"/>
        <v>0</v>
      </c>
      <c r="V11" s="9"/>
      <c r="W11" s="14">
        <f t="shared" si="8"/>
        <v>0</v>
      </c>
      <c r="X11" s="9"/>
      <c r="Y11" s="14">
        <f t="shared" si="9"/>
        <v>0</v>
      </c>
      <c r="Z11" s="9"/>
      <c r="AA11" s="14">
        <f t="shared" si="10"/>
        <v>0</v>
      </c>
      <c r="AB11" s="9"/>
      <c r="AC11" s="14">
        <f t="shared" si="11"/>
        <v>0</v>
      </c>
      <c r="AD11" s="31">
        <f t="shared" si="12"/>
        <v>24990</v>
      </c>
      <c r="AE11" s="31">
        <f t="shared" si="13"/>
        <v>24434.666666666668</v>
      </c>
      <c r="AF11" s="31">
        <f t="shared" si="14"/>
        <v>1620.0325099618628</v>
      </c>
      <c r="AG11" s="32">
        <f t="shared" si="23"/>
        <v>6.630057745669525E-2</v>
      </c>
      <c r="AH11" s="31">
        <f t="shared" si="24"/>
        <v>26054.699176628532</v>
      </c>
      <c r="AI11" s="31">
        <f t="shared" si="25"/>
        <v>22814.634156704804</v>
      </c>
      <c r="AJ11" s="13">
        <f t="shared" si="15"/>
        <v>24990</v>
      </c>
      <c r="AK11" s="13" t="str">
        <f t="shared" si="16"/>
        <v/>
      </c>
      <c r="AL11" s="13">
        <f t="shared" si="17"/>
        <v>25704</v>
      </c>
      <c r="AM11" s="13" t="str">
        <f t="shared" si="18"/>
        <v/>
      </c>
      <c r="AN11" s="13" t="str">
        <f t="shared" si="19"/>
        <v/>
      </c>
      <c r="AO11" s="13" t="str">
        <f t="shared" si="20"/>
        <v/>
      </c>
      <c r="AP11" s="13" t="str">
        <f t="shared" si="21"/>
        <v/>
      </c>
      <c r="AQ11" s="13"/>
      <c r="AR11" s="13"/>
      <c r="AS11" s="29">
        <f t="shared" si="26"/>
        <v>25347</v>
      </c>
      <c r="AT11" s="29">
        <f t="shared" si="27"/>
        <v>25347</v>
      </c>
      <c r="AU11" s="29">
        <f t="shared" si="28"/>
        <v>504.87424176719492</v>
      </c>
      <c r="AV11" s="30">
        <f t="shared" si="29"/>
        <v>1.9918500878494297E-2</v>
      </c>
      <c r="AW11" s="31">
        <f t="shared" ref="AW11:AW12" si="31">ROUND(AE11,0)</f>
        <v>24435</v>
      </c>
      <c r="AX11" s="31">
        <f t="shared" si="22"/>
        <v>904095</v>
      </c>
      <c r="AY11" s="34" t="s">
        <v>186</v>
      </c>
    </row>
    <row r="12" spans="1:51" ht="87" customHeight="1" x14ac:dyDescent="0.3">
      <c r="A12" s="5">
        <v>5</v>
      </c>
      <c r="B12" s="6" t="s">
        <v>50</v>
      </c>
      <c r="C12" s="7" t="s">
        <v>51</v>
      </c>
      <c r="D12" s="5" t="s">
        <v>52</v>
      </c>
      <c r="E12" s="8">
        <f>6+13</f>
        <v>19</v>
      </c>
      <c r="F12" s="9">
        <v>32130</v>
      </c>
      <c r="G12" s="10">
        <f t="shared" si="0"/>
        <v>610470</v>
      </c>
      <c r="H12" s="9">
        <v>34510</v>
      </c>
      <c r="I12" s="10">
        <f t="shared" si="1"/>
        <v>655690</v>
      </c>
      <c r="J12" s="9">
        <v>35700</v>
      </c>
      <c r="K12" s="10">
        <f t="shared" si="2"/>
        <v>678300</v>
      </c>
      <c r="L12" s="9"/>
      <c r="M12" s="10">
        <f t="shared" si="3"/>
        <v>0</v>
      </c>
      <c r="N12" s="9"/>
      <c r="O12" s="10">
        <f t="shared" si="4"/>
        <v>0</v>
      </c>
      <c r="P12" s="9"/>
      <c r="Q12" s="10">
        <f t="shared" si="5"/>
        <v>0</v>
      </c>
      <c r="R12" s="9"/>
      <c r="S12" s="10">
        <f t="shared" si="6"/>
        <v>0</v>
      </c>
      <c r="T12" s="9"/>
      <c r="U12" s="10">
        <f t="shared" si="7"/>
        <v>0</v>
      </c>
      <c r="V12" s="9"/>
      <c r="W12" s="10">
        <f t="shared" si="8"/>
        <v>0</v>
      </c>
      <c r="X12" s="9"/>
      <c r="Y12" s="10">
        <f t="shared" si="9"/>
        <v>0</v>
      </c>
      <c r="Z12" s="9"/>
      <c r="AA12" s="10">
        <f t="shared" si="10"/>
        <v>0</v>
      </c>
      <c r="AB12" s="9"/>
      <c r="AC12" s="10">
        <f t="shared" si="11"/>
        <v>0</v>
      </c>
      <c r="AD12" s="31">
        <f t="shared" si="12"/>
        <v>34510</v>
      </c>
      <c r="AE12" s="31">
        <f t="shared" si="13"/>
        <v>34113.333333333336</v>
      </c>
      <c r="AF12" s="31">
        <f t="shared" si="14"/>
        <v>1817.7550256658167</v>
      </c>
      <c r="AG12" s="32">
        <f t="shared" si="23"/>
        <v>5.3285763894835352E-2</v>
      </c>
      <c r="AH12" s="31">
        <f t="shared" si="24"/>
        <v>35931.08835899915</v>
      </c>
      <c r="AI12" s="31">
        <f t="shared" si="25"/>
        <v>32295.578307667518</v>
      </c>
      <c r="AJ12" s="13" t="str">
        <f t="shared" si="15"/>
        <v/>
      </c>
      <c r="AK12" s="13">
        <f t="shared" si="16"/>
        <v>34510</v>
      </c>
      <c r="AL12" s="13">
        <f t="shared" si="17"/>
        <v>35700</v>
      </c>
      <c r="AM12" s="13" t="str">
        <f t="shared" si="18"/>
        <v/>
      </c>
      <c r="AN12" s="13" t="str">
        <f t="shared" si="19"/>
        <v/>
      </c>
      <c r="AO12" s="13" t="str">
        <f t="shared" si="20"/>
        <v/>
      </c>
      <c r="AP12" s="13" t="str">
        <f t="shared" si="21"/>
        <v/>
      </c>
      <c r="AQ12" s="13"/>
      <c r="AR12" s="13"/>
      <c r="AS12" s="29">
        <f t="shared" si="26"/>
        <v>35105</v>
      </c>
      <c r="AT12" s="29">
        <f t="shared" si="27"/>
        <v>35105</v>
      </c>
      <c r="AU12" s="29">
        <f t="shared" si="28"/>
        <v>841.45706961199153</v>
      </c>
      <c r="AV12" s="30">
        <f t="shared" si="29"/>
        <v>2.3969721396154154E-2</v>
      </c>
      <c r="AW12" s="31">
        <f t="shared" si="31"/>
        <v>34113</v>
      </c>
      <c r="AX12" s="31">
        <f t="shared" si="22"/>
        <v>648147</v>
      </c>
      <c r="AY12" s="34" t="s">
        <v>186</v>
      </c>
    </row>
    <row r="13" spans="1:51" ht="66" customHeight="1" x14ac:dyDescent="0.3">
      <c r="A13" s="5">
        <v>6</v>
      </c>
      <c r="B13" s="6" t="s">
        <v>53</v>
      </c>
      <c r="C13" s="7" t="s">
        <v>54</v>
      </c>
      <c r="D13" s="5" t="s">
        <v>52</v>
      </c>
      <c r="E13" s="8">
        <v>6</v>
      </c>
      <c r="F13" s="9">
        <v>17850</v>
      </c>
      <c r="G13" s="14">
        <f t="shared" si="0"/>
        <v>107100</v>
      </c>
      <c r="H13" s="9">
        <v>18100</v>
      </c>
      <c r="I13" s="14">
        <f t="shared" si="1"/>
        <v>108600</v>
      </c>
      <c r="J13" s="9">
        <v>17875</v>
      </c>
      <c r="K13" s="14">
        <f t="shared" si="2"/>
        <v>107250</v>
      </c>
      <c r="L13" s="9"/>
      <c r="M13" s="14">
        <f t="shared" si="3"/>
        <v>0</v>
      </c>
      <c r="N13" s="9"/>
      <c r="O13" s="14">
        <f t="shared" si="4"/>
        <v>0</v>
      </c>
      <c r="P13" s="9"/>
      <c r="Q13" s="14">
        <f t="shared" si="5"/>
        <v>0</v>
      </c>
      <c r="R13" s="9"/>
      <c r="S13" s="14">
        <f t="shared" si="6"/>
        <v>0</v>
      </c>
      <c r="T13" s="9"/>
      <c r="U13" s="14">
        <f t="shared" si="7"/>
        <v>0</v>
      </c>
      <c r="V13" s="9"/>
      <c r="W13" s="14">
        <f t="shared" si="8"/>
        <v>0</v>
      </c>
      <c r="X13" s="9"/>
      <c r="Y13" s="14">
        <f t="shared" si="9"/>
        <v>0</v>
      </c>
      <c r="Z13" s="9"/>
      <c r="AA13" s="14">
        <f t="shared" si="10"/>
        <v>0</v>
      </c>
      <c r="AB13" s="9"/>
      <c r="AC13" s="14">
        <f t="shared" si="11"/>
        <v>0</v>
      </c>
      <c r="AD13" s="31">
        <f t="shared" si="12"/>
        <v>17875</v>
      </c>
      <c r="AE13" s="31">
        <f t="shared" si="13"/>
        <v>17941.666666666668</v>
      </c>
      <c r="AF13" s="31">
        <f t="shared" si="14"/>
        <v>137.68926368215256</v>
      </c>
      <c r="AG13" s="32">
        <f t="shared" si="23"/>
        <v>7.6742738698830958E-3</v>
      </c>
      <c r="AH13" s="31">
        <f t="shared" si="24"/>
        <v>18079.355930348822</v>
      </c>
      <c r="AI13" s="31">
        <f t="shared" si="25"/>
        <v>17803.977402984514</v>
      </c>
      <c r="AJ13" s="13">
        <f t="shared" si="15"/>
        <v>17850</v>
      </c>
      <c r="AK13" s="13" t="str">
        <f t="shared" si="16"/>
        <v/>
      </c>
      <c r="AL13" s="13">
        <f t="shared" si="17"/>
        <v>17875</v>
      </c>
      <c r="AM13" s="13" t="str">
        <f t="shared" si="18"/>
        <v/>
      </c>
      <c r="AN13" s="13" t="str">
        <f t="shared" si="19"/>
        <v/>
      </c>
      <c r="AO13" s="13" t="str">
        <f t="shared" si="20"/>
        <v/>
      </c>
      <c r="AP13" s="13" t="str">
        <f t="shared" si="21"/>
        <v/>
      </c>
      <c r="AQ13" s="13"/>
      <c r="AR13" s="13"/>
      <c r="AS13" s="29">
        <f t="shared" si="26"/>
        <v>17862.5</v>
      </c>
      <c r="AT13" s="29">
        <f t="shared" si="27"/>
        <v>17862.5</v>
      </c>
      <c r="AU13" s="29">
        <f t="shared" si="28"/>
        <v>17.677669529663689</v>
      </c>
      <c r="AV13" s="30">
        <f t="shared" si="29"/>
        <v>9.8965259788180195E-4</v>
      </c>
      <c r="AW13" s="31">
        <f>+ROUND(+IFERROR(AVERAGEIF(AJ13:AR13,"&lt;&gt;q"),"q"),0)</f>
        <v>17863</v>
      </c>
      <c r="AX13" s="31">
        <f t="shared" si="22"/>
        <v>107178</v>
      </c>
      <c r="AY13" s="34" t="s">
        <v>187</v>
      </c>
    </row>
    <row r="14" spans="1:51" ht="90" customHeight="1" x14ac:dyDescent="0.3">
      <c r="A14" s="5">
        <v>7</v>
      </c>
      <c r="B14" s="79" t="s">
        <v>55</v>
      </c>
      <c r="C14" s="7" t="s">
        <v>228</v>
      </c>
      <c r="D14" s="5" t="s">
        <v>43</v>
      </c>
      <c r="E14" s="8">
        <v>1874</v>
      </c>
      <c r="F14" s="9"/>
      <c r="G14" s="10">
        <f t="shared" si="0"/>
        <v>0</v>
      </c>
      <c r="H14" s="9"/>
      <c r="I14" s="10">
        <f t="shared" si="1"/>
        <v>0</v>
      </c>
      <c r="J14" s="9"/>
      <c r="K14" s="10">
        <f t="shared" si="2"/>
        <v>0</v>
      </c>
      <c r="L14" s="9">
        <v>14017</v>
      </c>
      <c r="M14" s="10">
        <f t="shared" si="3"/>
        <v>26267858</v>
      </c>
      <c r="N14" s="9"/>
      <c r="O14" s="10">
        <f t="shared" si="4"/>
        <v>0</v>
      </c>
      <c r="P14" s="9"/>
      <c r="Q14" s="10">
        <f t="shared" si="5"/>
        <v>0</v>
      </c>
      <c r="R14" s="9"/>
      <c r="S14" s="10">
        <f t="shared" si="6"/>
        <v>0</v>
      </c>
      <c r="T14" s="9"/>
      <c r="U14" s="10">
        <f t="shared" si="7"/>
        <v>0</v>
      </c>
      <c r="V14" s="9"/>
      <c r="W14" s="10">
        <f t="shared" si="8"/>
        <v>0</v>
      </c>
      <c r="X14" s="9"/>
      <c r="Y14" s="10">
        <f t="shared" si="9"/>
        <v>0</v>
      </c>
      <c r="Z14" s="9"/>
      <c r="AA14" s="10">
        <f t="shared" si="10"/>
        <v>0</v>
      </c>
      <c r="AB14" s="9"/>
      <c r="AC14" s="10">
        <f t="shared" si="11"/>
        <v>0</v>
      </c>
      <c r="AD14" s="31">
        <f t="shared" si="12"/>
        <v>14017</v>
      </c>
      <c r="AE14" s="31">
        <f t="shared" si="13"/>
        <v>14017</v>
      </c>
      <c r="AF14" s="31" t="str">
        <f t="shared" si="14"/>
        <v/>
      </c>
      <c r="AG14" s="32" t="str">
        <f t="shared" si="23"/>
        <v/>
      </c>
      <c r="AH14" s="31" t="str">
        <f t="shared" si="24"/>
        <v/>
      </c>
      <c r="AI14" s="31" t="str">
        <f t="shared" si="25"/>
        <v/>
      </c>
      <c r="AJ14" s="13">
        <f t="shared" si="15"/>
        <v>0</v>
      </c>
      <c r="AK14" s="13">
        <f t="shared" si="16"/>
        <v>0</v>
      </c>
      <c r="AL14" s="13">
        <f t="shared" si="17"/>
        <v>0</v>
      </c>
      <c r="AM14" s="13" t="str">
        <f t="shared" si="18"/>
        <v/>
      </c>
      <c r="AN14" s="13">
        <f t="shared" si="19"/>
        <v>0</v>
      </c>
      <c r="AO14" s="13">
        <f t="shared" si="20"/>
        <v>0</v>
      </c>
      <c r="AP14" s="13">
        <f t="shared" si="21"/>
        <v>0</v>
      </c>
      <c r="AQ14" s="13"/>
      <c r="AR14" s="13"/>
      <c r="AS14" s="29">
        <f t="shared" si="26"/>
        <v>0</v>
      </c>
      <c r="AT14" s="29">
        <f t="shared" si="27"/>
        <v>0</v>
      </c>
      <c r="AU14" s="29">
        <f t="shared" si="28"/>
        <v>0</v>
      </c>
      <c r="AV14" s="30" t="str">
        <f t="shared" si="29"/>
        <v/>
      </c>
      <c r="AW14" s="31">
        <f>ROUND(AE14,0)</f>
        <v>14017</v>
      </c>
      <c r="AX14" s="31">
        <f t="shared" si="22"/>
        <v>26267858</v>
      </c>
      <c r="AY14" s="33" t="s">
        <v>184</v>
      </c>
    </row>
    <row r="15" spans="1:51" ht="60.75" customHeight="1" x14ac:dyDescent="0.3">
      <c r="A15" s="5">
        <v>8</v>
      </c>
      <c r="B15" s="79" t="s">
        <v>56</v>
      </c>
      <c r="C15" s="7" t="s">
        <v>225</v>
      </c>
      <c r="D15" s="5" t="s">
        <v>57</v>
      </c>
      <c r="E15" s="8">
        <v>78</v>
      </c>
      <c r="F15" s="9">
        <v>26100</v>
      </c>
      <c r="G15" s="14">
        <f t="shared" si="0"/>
        <v>2035800</v>
      </c>
      <c r="H15" s="9">
        <v>27750</v>
      </c>
      <c r="I15" s="14">
        <f t="shared" si="1"/>
        <v>2164500</v>
      </c>
      <c r="J15" s="9">
        <v>26200</v>
      </c>
      <c r="K15" s="14">
        <f t="shared" si="2"/>
        <v>2043600</v>
      </c>
      <c r="L15" s="9"/>
      <c r="M15" s="14">
        <f t="shared" si="3"/>
        <v>0</v>
      </c>
      <c r="N15" s="9"/>
      <c r="O15" s="14">
        <f t="shared" si="4"/>
        <v>0</v>
      </c>
      <c r="P15" s="9"/>
      <c r="Q15" s="14">
        <f t="shared" si="5"/>
        <v>0</v>
      </c>
      <c r="R15" s="9"/>
      <c r="S15" s="14">
        <f t="shared" si="6"/>
        <v>0</v>
      </c>
      <c r="T15" s="9"/>
      <c r="U15" s="14">
        <f t="shared" si="7"/>
        <v>0</v>
      </c>
      <c r="V15" s="9"/>
      <c r="W15" s="14">
        <f t="shared" si="8"/>
        <v>0</v>
      </c>
      <c r="X15" s="9"/>
      <c r="Y15" s="14">
        <f t="shared" si="9"/>
        <v>0</v>
      </c>
      <c r="Z15" s="9"/>
      <c r="AA15" s="14">
        <f t="shared" si="10"/>
        <v>0</v>
      </c>
      <c r="AB15" s="9"/>
      <c r="AC15" s="14">
        <f t="shared" si="11"/>
        <v>0</v>
      </c>
      <c r="AD15" s="31">
        <f t="shared" si="12"/>
        <v>26200</v>
      </c>
      <c r="AE15" s="31">
        <f t="shared" si="13"/>
        <v>26683.333333333332</v>
      </c>
      <c r="AF15" s="31">
        <f t="shared" si="14"/>
        <v>925.11260575852782</v>
      </c>
      <c r="AG15" s="32">
        <f t="shared" si="23"/>
        <v>3.4670053932237148E-2</v>
      </c>
      <c r="AH15" s="31">
        <f t="shared" si="24"/>
        <v>27608.44593909186</v>
      </c>
      <c r="AI15" s="31">
        <f t="shared" si="25"/>
        <v>25758.220727574804</v>
      </c>
      <c r="AJ15" s="13">
        <f t="shared" si="15"/>
        <v>26100</v>
      </c>
      <c r="AK15" s="13" t="str">
        <f t="shared" si="16"/>
        <v/>
      </c>
      <c r="AL15" s="13">
        <f t="shared" si="17"/>
        <v>26200</v>
      </c>
      <c r="AM15" s="13" t="str">
        <f t="shared" si="18"/>
        <v/>
      </c>
      <c r="AN15" s="13" t="str">
        <f t="shared" si="19"/>
        <v/>
      </c>
      <c r="AO15" s="13" t="str">
        <f t="shared" si="20"/>
        <v/>
      </c>
      <c r="AP15" s="13" t="str">
        <f t="shared" si="21"/>
        <v/>
      </c>
      <c r="AQ15" s="13"/>
      <c r="AR15" s="13"/>
      <c r="AS15" s="29">
        <f t="shared" si="26"/>
        <v>26150</v>
      </c>
      <c r="AT15" s="29">
        <f t="shared" si="27"/>
        <v>26150</v>
      </c>
      <c r="AU15" s="29">
        <f t="shared" si="28"/>
        <v>70.710678118654755</v>
      </c>
      <c r="AV15" s="30">
        <f t="shared" si="29"/>
        <v>2.7040412282468358E-3</v>
      </c>
      <c r="AW15" s="31">
        <f t="shared" ref="AW15:AW16" si="32">+ROUND(+IFERROR(AVERAGEIF(AJ15:AR15,"&lt;&gt;q"),"q"),0)</f>
        <v>26150</v>
      </c>
      <c r="AX15" s="31">
        <f t="shared" si="22"/>
        <v>2039700</v>
      </c>
      <c r="AY15" s="34" t="s">
        <v>187</v>
      </c>
    </row>
    <row r="16" spans="1:51" ht="99.75" customHeight="1" x14ac:dyDescent="0.3">
      <c r="A16" s="5">
        <v>9</v>
      </c>
      <c r="B16" s="6" t="s">
        <v>58</v>
      </c>
      <c r="C16" s="7" t="s">
        <v>59</v>
      </c>
      <c r="D16" s="5" t="s">
        <v>43</v>
      </c>
      <c r="E16" s="8">
        <v>4</v>
      </c>
      <c r="F16" s="9">
        <v>121380</v>
      </c>
      <c r="G16" s="10">
        <f t="shared" si="0"/>
        <v>485520</v>
      </c>
      <c r="H16" s="9">
        <v>122570</v>
      </c>
      <c r="I16" s="10">
        <f t="shared" si="1"/>
        <v>490280</v>
      </c>
      <c r="J16" s="9">
        <v>121380</v>
      </c>
      <c r="K16" s="10">
        <f t="shared" si="2"/>
        <v>485520</v>
      </c>
      <c r="L16" s="9"/>
      <c r="M16" s="10">
        <f t="shared" si="3"/>
        <v>0</v>
      </c>
      <c r="N16" s="9"/>
      <c r="O16" s="10">
        <f t="shared" si="4"/>
        <v>0</v>
      </c>
      <c r="P16" s="9"/>
      <c r="Q16" s="10">
        <f t="shared" si="5"/>
        <v>0</v>
      </c>
      <c r="R16" s="9"/>
      <c r="S16" s="10">
        <f t="shared" si="6"/>
        <v>0</v>
      </c>
      <c r="T16" s="9"/>
      <c r="U16" s="10">
        <f t="shared" si="7"/>
        <v>0</v>
      </c>
      <c r="V16" s="9"/>
      <c r="W16" s="10">
        <f t="shared" si="8"/>
        <v>0</v>
      </c>
      <c r="X16" s="9"/>
      <c r="Y16" s="10">
        <f t="shared" si="9"/>
        <v>0</v>
      </c>
      <c r="Z16" s="9"/>
      <c r="AA16" s="10">
        <f t="shared" si="10"/>
        <v>0</v>
      </c>
      <c r="AB16" s="9"/>
      <c r="AC16" s="10">
        <f t="shared" si="11"/>
        <v>0</v>
      </c>
      <c r="AD16" s="31">
        <f t="shared" si="12"/>
        <v>121380</v>
      </c>
      <c r="AE16" s="31">
        <f t="shared" si="13"/>
        <v>121776.66666666667</v>
      </c>
      <c r="AF16" s="31">
        <f t="shared" si="14"/>
        <v>687.04682033565462</v>
      </c>
      <c r="AG16" s="32">
        <f t="shared" si="23"/>
        <v>5.6418593080419452E-3</v>
      </c>
      <c r="AH16" s="31">
        <f t="shared" si="24"/>
        <v>122463.71348700233</v>
      </c>
      <c r="AI16" s="31">
        <f t="shared" si="25"/>
        <v>121089.61984633101</v>
      </c>
      <c r="AJ16" s="13">
        <f t="shared" si="15"/>
        <v>121380</v>
      </c>
      <c r="AK16" s="13" t="str">
        <f t="shared" si="16"/>
        <v/>
      </c>
      <c r="AL16" s="13">
        <f t="shared" si="17"/>
        <v>121380</v>
      </c>
      <c r="AM16" s="13" t="str">
        <f t="shared" si="18"/>
        <v/>
      </c>
      <c r="AN16" s="13" t="str">
        <f t="shared" si="19"/>
        <v/>
      </c>
      <c r="AO16" s="13" t="str">
        <f t="shared" si="20"/>
        <v/>
      </c>
      <c r="AP16" s="13" t="str">
        <f t="shared" si="21"/>
        <v/>
      </c>
      <c r="AQ16" s="13"/>
      <c r="AR16" s="13"/>
      <c r="AS16" s="29">
        <f t="shared" si="26"/>
        <v>121380</v>
      </c>
      <c r="AT16" s="29">
        <f t="shared" si="27"/>
        <v>121380</v>
      </c>
      <c r="AU16" s="29">
        <f t="shared" si="28"/>
        <v>0</v>
      </c>
      <c r="AV16" s="30">
        <f t="shared" si="29"/>
        <v>0</v>
      </c>
      <c r="AW16" s="31">
        <f t="shared" si="32"/>
        <v>121380</v>
      </c>
      <c r="AX16" s="31">
        <f t="shared" si="22"/>
        <v>485520</v>
      </c>
      <c r="AY16" s="34" t="s">
        <v>187</v>
      </c>
    </row>
    <row r="17" spans="1:51" ht="99.75" customHeight="1" x14ac:dyDescent="0.3">
      <c r="A17" s="5">
        <v>10</v>
      </c>
      <c r="B17" s="6" t="s">
        <v>60</v>
      </c>
      <c r="C17" s="7" t="s">
        <v>61</v>
      </c>
      <c r="D17" s="5" t="s">
        <v>62</v>
      </c>
      <c r="E17" s="8">
        <v>7</v>
      </c>
      <c r="F17" s="9"/>
      <c r="G17" s="10">
        <f t="shared" si="0"/>
        <v>0</v>
      </c>
      <c r="H17" s="9">
        <v>779450</v>
      </c>
      <c r="I17" s="10">
        <f>+$E17*H17</f>
        <v>5456150</v>
      </c>
      <c r="J17" s="43">
        <v>825000</v>
      </c>
      <c r="K17" s="10">
        <f t="shared" si="2"/>
        <v>5775000</v>
      </c>
      <c r="L17" s="9"/>
      <c r="M17" s="10">
        <f t="shared" si="3"/>
        <v>0</v>
      </c>
      <c r="N17" s="9"/>
      <c r="O17" s="10">
        <f t="shared" si="4"/>
        <v>0</v>
      </c>
      <c r="P17" s="9">
        <v>630000</v>
      </c>
      <c r="Q17" s="10">
        <f t="shared" si="5"/>
        <v>4410000</v>
      </c>
      <c r="R17" s="9">
        <v>499800</v>
      </c>
      <c r="S17" s="10">
        <f t="shared" si="6"/>
        <v>3498600</v>
      </c>
      <c r="T17" s="9"/>
      <c r="U17" s="10">
        <f t="shared" si="7"/>
        <v>0</v>
      </c>
      <c r="V17" s="9"/>
      <c r="W17" s="10">
        <f t="shared" si="8"/>
        <v>0</v>
      </c>
      <c r="X17" s="9"/>
      <c r="Y17" s="10">
        <f t="shared" si="9"/>
        <v>0</v>
      </c>
      <c r="Z17" s="9"/>
      <c r="AA17" s="10">
        <f t="shared" si="10"/>
        <v>0</v>
      </c>
      <c r="AB17" s="9"/>
      <c r="AC17" s="10">
        <f t="shared" si="11"/>
        <v>0</v>
      </c>
      <c r="AD17" s="31">
        <f t="shared" si="12"/>
        <v>704725</v>
      </c>
      <c r="AE17" s="31">
        <f t="shared" si="13"/>
        <v>683562.5</v>
      </c>
      <c r="AF17" s="31">
        <f t="shared" si="14"/>
        <v>148140.22284646396</v>
      </c>
      <c r="AG17" s="32">
        <f t="shared" si="23"/>
        <v>0.21671789023895249</v>
      </c>
      <c r="AH17" s="31">
        <f t="shared" si="24"/>
        <v>831702.72284646402</v>
      </c>
      <c r="AI17" s="31">
        <f t="shared" si="25"/>
        <v>535422.27715353598</v>
      </c>
      <c r="AJ17" s="13" t="str">
        <f t="shared" si="15"/>
        <v/>
      </c>
      <c r="AK17" s="13">
        <f t="shared" si="16"/>
        <v>779450</v>
      </c>
      <c r="AL17" s="13">
        <f t="shared" si="17"/>
        <v>825000</v>
      </c>
      <c r="AM17" s="13" t="str">
        <f t="shared" si="18"/>
        <v/>
      </c>
      <c r="AN17" s="13" t="str">
        <f t="shared" si="19"/>
        <v/>
      </c>
      <c r="AO17" s="13">
        <f t="shared" si="20"/>
        <v>630000</v>
      </c>
      <c r="AP17" s="13" t="str">
        <f t="shared" si="21"/>
        <v/>
      </c>
      <c r="AQ17" s="13"/>
      <c r="AR17" s="13"/>
      <c r="AS17" s="29">
        <f t="shared" si="26"/>
        <v>779450</v>
      </c>
      <c r="AT17" s="29">
        <f t="shared" si="27"/>
        <v>744816.66666666663</v>
      </c>
      <c r="AU17" s="29">
        <f t="shared" si="28"/>
        <v>102009.07230895385</v>
      </c>
      <c r="AV17" s="30">
        <f t="shared" si="29"/>
        <v>0.13695863274043346</v>
      </c>
      <c r="AW17" s="31">
        <f>ROUND(AE17,0)</f>
        <v>683563</v>
      </c>
      <c r="AX17" s="31">
        <f t="shared" si="22"/>
        <v>4784941</v>
      </c>
      <c r="AY17" s="34" t="s">
        <v>186</v>
      </c>
    </row>
    <row r="18" spans="1:51" ht="99.75" customHeight="1" x14ac:dyDescent="0.3">
      <c r="A18" s="5">
        <v>11</v>
      </c>
      <c r="B18" s="35" t="s">
        <v>63</v>
      </c>
      <c r="C18" s="7" t="s">
        <v>61</v>
      </c>
      <c r="D18" s="5" t="s">
        <v>62</v>
      </c>
      <c r="E18" s="8">
        <v>10</v>
      </c>
      <c r="F18" s="9"/>
      <c r="G18" s="10">
        <f t="shared" si="0"/>
        <v>0</v>
      </c>
      <c r="H18" s="9">
        <v>779450</v>
      </c>
      <c r="I18" s="10">
        <f t="shared" si="1"/>
        <v>7794500</v>
      </c>
      <c r="J18" s="9"/>
      <c r="K18" s="10">
        <f t="shared" si="2"/>
        <v>0</v>
      </c>
      <c r="L18" s="9"/>
      <c r="M18" s="10">
        <f t="shared" si="3"/>
        <v>0</v>
      </c>
      <c r="N18" s="9"/>
      <c r="O18" s="10">
        <f t="shared" si="4"/>
        <v>0</v>
      </c>
      <c r="P18" s="9">
        <v>630000</v>
      </c>
      <c r="Q18" s="10">
        <f t="shared" si="5"/>
        <v>6300000</v>
      </c>
      <c r="R18" s="9">
        <v>499800</v>
      </c>
      <c r="S18" s="10">
        <f t="shared" si="6"/>
        <v>4998000</v>
      </c>
      <c r="T18" s="9"/>
      <c r="U18" s="10">
        <f t="shared" si="7"/>
        <v>0</v>
      </c>
      <c r="V18" s="9"/>
      <c r="W18" s="10">
        <f t="shared" si="8"/>
        <v>0</v>
      </c>
      <c r="X18" s="9"/>
      <c r="Y18" s="10">
        <f t="shared" si="9"/>
        <v>0</v>
      </c>
      <c r="Z18" s="9"/>
      <c r="AA18" s="10">
        <f t="shared" si="10"/>
        <v>0</v>
      </c>
      <c r="AB18" s="9"/>
      <c r="AC18" s="10">
        <f t="shared" si="11"/>
        <v>0</v>
      </c>
      <c r="AD18" s="31">
        <f t="shared" si="12"/>
        <v>630000</v>
      </c>
      <c r="AE18" s="31">
        <f t="shared" si="13"/>
        <v>636416.66666666663</v>
      </c>
      <c r="AF18" s="31">
        <f t="shared" si="14"/>
        <v>139935.38092038545</v>
      </c>
      <c r="AG18" s="32">
        <f t="shared" si="23"/>
        <v>0.21988013238766865</v>
      </c>
      <c r="AH18" s="31">
        <f t="shared" si="24"/>
        <v>776352.0475870521</v>
      </c>
      <c r="AI18" s="31">
        <f t="shared" si="25"/>
        <v>496481.28574628115</v>
      </c>
      <c r="AJ18" s="13" t="str">
        <f t="shared" si="15"/>
        <v/>
      </c>
      <c r="AK18" s="13" t="str">
        <f t="shared" si="16"/>
        <v/>
      </c>
      <c r="AL18" s="13" t="str">
        <f t="shared" si="17"/>
        <v/>
      </c>
      <c r="AM18" s="13" t="str">
        <f t="shared" si="18"/>
        <v/>
      </c>
      <c r="AN18" s="13" t="str">
        <f t="shared" si="19"/>
        <v/>
      </c>
      <c r="AO18" s="13">
        <f t="shared" si="20"/>
        <v>630000</v>
      </c>
      <c r="AP18" s="13">
        <f t="shared" si="21"/>
        <v>499800</v>
      </c>
      <c r="AQ18" s="13"/>
      <c r="AR18" s="13"/>
      <c r="AS18" s="29">
        <f t="shared" si="26"/>
        <v>564900</v>
      </c>
      <c r="AT18" s="29">
        <f t="shared" si="27"/>
        <v>564900</v>
      </c>
      <c r="AU18" s="29">
        <f t="shared" si="28"/>
        <v>92065.302910488492</v>
      </c>
      <c r="AV18" s="30">
        <f t="shared" si="29"/>
        <v>0.16297628413965037</v>
      </c>
      <c r="AW18" s="31">
        <f>+ROUND(+IFERROR(AVERAGEIF(AJ18:AR18,"&lt;&gt;q"),"q"),0)</f>
        <v>564900</v>
      </c>
      <c r="AX18" s="31">
        <f t="shared" si="22"/>
        <v>5649000</v>
      </c>
      <c r="AY18" s="34" t="s">
        <v>187</v>
      </c>
    </row>
    <row r="19" spans="1:51" ht="99.75" customHeight="1" x14ac:dyDescent="0.3">
      <c r="A19" s="5">
        <v>12</v>
      </c>
      <c r="B19" s="35" t="s">
        <v>64</v>
      </c>
      <c r="C19" s="7" t="s">
        <v>65</v>
      </c>
      <c r="D19" s="5" t="s">
        <v>66</v>
      </c>
      <c r="E19" s="8">
        <f>36+98</f>
        <v>134</v>
      </c>
      <c r="F19" s="9"/>
      <c r="G19" s="10">
        <f t="shared" si="0"/>
        <v>0</v>
      </c>
      <c r="H19" s="9"/>
      <c r="I19" s="10">
        <f t="shared" si="1"/>
        <v>0</v>
      </c>
      <c r="J19" s="9"/>
      <c r="K19" s="10">
        <f t="shared" si="2"/>
        <v>0</v>
      </c>
      <c r="L19" s="9"/>
      <c r="M19" s="10">
        <f t="shared" si="3"/>
        <v>0</v>
      </c>
      <c r="N19" s="9">
        <v>33479</v>
      </c>
      <c r="O19" s="10">
        <f t="shared" si="4"/>
        <v>4486186</v>
      </c>
      <c r="P19" s="9"/>
      <c r="Q19" s="10">
        <f t="shared" si="5"/>
        <v>0</v>
      </c>
      <c r="R19" s="9"/>
      <c r="S19" s="10">
        <f t="shared" si="6"/>
        <v>0</v>
      </c>
      <c r="T19" s="9"/>
      <c r="U19" s="10">
        <f t="shared" si="7"/>
        <v>0</v>
      </c>
      <c r="V19" s="9"/>
      <c r="W19" s="10">
        <f t="shared" si="8"/>
        <v>0</v>
      </c>
      <c r="X19" s="9"/>
      <c r="Y19" s="10">
        <f t="shared" si="9"/>
        <v>0</v>
      </c>
      <c r="Z19" s="9"/>
      <c r="AA19" s="10">
        <f t="shared" si="10"/>
        <v>0</v>
      </c>
      <c r="AB19" s="9"/>
      <c r="AC19" s="10">
        <f t="shared" si="11"/>
        <v>0</v>
      </c>
      <c r="AD19" s="31">
        <f t="shared" si="12"/>
        <v>33479</v>
      </c>
      <c r="AE19" s="31">
        <f t="shared" si="13"/>
        <v>33479</v>
      </c>
      <c r="AF19" s="31" t="str">
        <f t="shared" si="14"/>
        <v/>
      </c>
      <c r="AG19" s="32" t="str">
        <f t="shared" si="23"/>
        <v/>
      </c>
      <c r="AH19" s="31" t="str">
        <f t="shared" si="24"/>
        <v/>
      </c>
      <c r="AI19" s="31" t="str">
        <f t="shared" si="25"/>
        <v/>
      </c>
      <c r="AJ19" s="13">
        <f t="shared" si="15"/>
        <v>0</v>
      </c>
      <c r="AK19" s="13">
        <f t="shared" si="16"/>
        <v>0</v>
      </c>
      <c r="AL19" s="13">
        <f t="shared" si="17"/>
        <v>0</v>
      </c>
      <c r="AM19" s="13">
        <f t="shared" si="18"/>
        <v>0</v>
      </c>
      <c r="AN19" s="13" t="str">
        <f t="shared" si="19"/>
        <v/>
      </c>
      <c r="AO19" s="13">
        <f t="shared" si="20"/>
        <v>0</v>
      </c>
      <c r="AP19" s="13">
        <f t="shared" si="21"/>
        <v>0</v>
      </c>
      <c r="AQ19" s="13"/>
      <c r="AR19" s="13"/>
      <c r="AS19" s="29">
        <f t="shared" si="26"/>
        <v>0</v>
      </c>
      <c r="AT19" s="29">
        <f t="shared" si="27"/>
        <v>0</v>
      </c>
      <c r="AU19" s="29">
        <f t="shared" si="28"/>
        <v>0</v>
      </c>
      <c r="AV19" s="30" t="str">
        <f t="shared" si="29"/>
        <v/>
      </c>
      <c r="AW19" s="31">
        <f t="shared" ref="AW19:AW21" si="33">ROUND(AE19,0)</f>
        <v>33479</v>
      </c>
      <c r="AX19" s="31">
        <f t="shared" si="22"/>
        <v>4486186</v>
      </c>
      <c r="AY19" s="33" t="s">
        <v>185</v>
      </c>
    </row>
    <row r="20" spans="1:51" ht="91.5" customHeight="1" x14ac:dyDescent="0.3">
      <c r="A20" s="5">
        <v>13</v>
      </c>
      <c r="B20" s="35" t="s">
        <v>67</v>
      </c>
      <c r="C20" s="7" t="s">
        <v>68</v>
      </c>
      <c r="D20" s="5" t="s">
        <v>66</v>
      </c>
      <c r="E20" s="8">
        <f>36+320</f>
        <v>356</v>
      </c>
      <c r="F20" s="9"/>
      <c r="G20" s="14">
        <f t="shared" si="0"/>
        <v>0</v>
      </c>
      <c r="H20" s="9"/>
      <c r="I20" s="14">
        <f t="shared" si="1"/>
        <v>0</v>
      </c>
      <c r="J20" s="9"/>
      <c r="K20" s="14">
        <f t="shared" si="2"/>
        <v>0</v>
      </c>
      <c r="L20" s="9"/>
      <c r="M20" s="14">
        <f t="shared" si="3"/>
        <v>0</v>
      </c>
      <c r="N20" s="9">
        <v>21413</v>
      </c>
      <c r="O20" s="14">
        <f t="shared" si="4"/>
        <v>7623028</v>
      </c>
      <c r="P20" s="9"/>
      <c r="Q20" s="14">
        <f t="shared" si="5"/>
        <v>0</v>
      </c>
      <c r="R20" s="9"/>
      <c r="S20" s="14">
        <f t="shared" si="6"/>
        <v>0</v>
      </c>
      <c r="T20" s="9"/>
      <c r="U20" s="14">
        <f t="shared" si="7"/>
        <v>0</v>
      </c>
      <c r="V20" s="9"/>
      <c r="W20" s="14">
        <f t="shared" si="8"/>
        <v>0</v>
      </c>
      <c r="X20" s="9"/>
      <c r="Y20" s="14">
        <f t="shared" si="9"/>
        <v>0</v>
      </c>
      <c r="Z20" s="9"/>
      <c r="AA20" s="14">
        <f t="shared" si="10"/>
        <v>0</v>
      </c>
      <c r="AB20" s="9"/>
      <c r="AC20" s="14">
        <f t="shared" si="11"/>
        <v>0</v>
      </c>
      <c r="AD20" s="31">
        <f t="shared" si="12"/>
        <v>21413</v>
      </c>
      <c r="AE20" s="31">
        <f t="shared" si="13"/>
        <v>21413</v>
      </c>
      <c r="AF20" s="31" t="str">
        <f t="shared" si="14"/>
        <v/>
      </c>
      <c r="AG20" s="32" t="str">
        <f t="shared" si="23"/>
        <v/>
      </c>
      <c r="AH20" s="31" t="str">
        <f t="shared" si="24"/>
        <v/>
      </c>
      <c r="AI20" s="31" t="str">
        <f t="shared" si="25"/>
        <v/>
      </c>
      <c r="AJ20" s="13">
        <f t="shared" si="15"/>
        <v>0</v>
      </c>
      <c r="AK20" s="13">
        <f t="shared" si="16"/>
        <v>0</v>
      </c>
      <c r="AL20" s="13">
        <f t="shared" si="17"/>
        <v>0</v>
      </c>
      <c r="AM20" s="13">
        <f t="shared" si="18"/>
        <v>0</v>
      </c>
      <c r="AN20" s="13" t="str">
        <f t="shared" si="19"/>
        <v/>
      </c>
      <c r="AO20" s="13">
        <f t="shared" si="20"/>
        <v>0</v>
      </c>
      <c r="AP20" s="13">
        <f t="shared" si="21"/>
        <v>0</v>
      </c>
      <c r="AQ20" s="13"/>
      <c r="AR20" s="13"/>
      <c r="AS20" s="29">
        <f t="shared" si="26"/>
        <v>0</v>
      </c>
      <c r="AT20" s="29">
        <f t="shared" si="27"/>
        <v>0</v>
      </c>
      <c r="AU20" s="29">
        <f t="shared" si="28"/>
        <v>0</v>
      </c>
      <c r="AV20" s="30" t="str">
        <f t="shared" si="29"/>
        <v/>
      </c>
      <c r="AW20" s="31">
        <f t="shared" si="33"/>
        <v>21413</v>
      </c>
      <c r="AX20" s="31">
        <f t="shared" si="22"/>
        <v>7623028</v>
      </c>
      <c r="AY20" s="33" t="s">
        <v>185</v>
      </c>
    </row>
    <row r="21" spans="1:51" ht="84.75" customHeight="1" x14ac:dyDescent="0.3">
      <c r="A21" s="5">
        <v>14</v>
      </c>
      <c r="B21" s="35" t="s">
        <v>69</v>
      </c>
      <c r="C21" s="7" t="s">
        <v>70</v>
      </c>
      <c r="D21" s="5" t="s">
        <v>66</v>
      </c>
      <c r="E21" s="8">
        <f>48+428</f>
        <v>476</v>
      </c>
      <c r="F21" s="9"/>
      <c r="G21" s="10">
        <f t="shared" si="0"/>
        <v>0</v>
      </c>
      <c r="H21" s="9"/>
      <c r="I21" s="10">
        <f t="shared" si="1"/>
        <v>0</v>
      </c>
      <c r="J21" s="9"/>
      <c r="K21" s="10">
        <f t="shared" si="2"/>
        <v>0</v>
      </c>
      <c r="L21" s="9"/>
      <c r="M21" s="10">
        <f t="shared" si="3"/>
        <v>0</v>
      </c>
      <c r="N21" s="9">
        <v>8983</v>
      </c>
      <c r="O21" s="10">
        <f t="shared" si="4"/>
        <v>4275908</v>
      </c>
      <c r="P21" s="9"/>
      <c r="Q21" s="10">
        <f t="shared" si="5"/>
        <v>0</v>
      </c>
      <c r="R21" s="9"/>
      <c r="S21" s="10">
        <f t="shared" si="6"/>
        <v>0</v>
      </c>
      <c r="T21" s="9"/>
      <c r="U21" s="10">
        <f t="shared" si="7"/>
        <v>0</v>
      </c>
      <c r="V21" s="9"/>
      <c r="W21" s="10">
        <f t="shared" si="8"/>
        <v>0</v>
      </c>
      <c r="X21" s="9"/>
      <c r="Y21" s="10">
        <f t="shared" si="9"/>
        <v>0</v>
      </c>
      <c r="Z21" s="9"/>
      <c r="AA21" s="10">
        <f t="shared" si="10"/>
        <v>0</v>
      </c>
      <c r="AB21" s="9"/>
      <c r="AC21" s="10">
        <f t="shared" si="11"/>
        <v>0</v>
      </c>
      <c r="AD21" s="31">
        <f t="shared" si="12"/>
        <v>8983</v>
      </c>
      <c r="AE21" s="31">
        <f t="shared" si="13"/>
        <v>8983</v>
      </c>
      <c r="AF21" s="31" t="str">
        <f t="shared" si="14"/>
        <v/>
      </c>
      <c r="AG21" s="32" t="str">
        <f t="shared" si="23"/>
        <v/>
      </c>
      <c r="AH21" s="31" t="str">
        <f t="shared" si="24"/>
        <v/>
      </c>
      <c r="AI21" s="31" t="str">
        <f t="shared" si="25"/>
        <v/>
      </c>
      <c r="AJ21" s="13">
        <f t="shared" si="15"/>
        <v>0</v>
      </c>
      <c r="AK21" s="13">
        <f t="shared" si="16"/>
        <v>0</v>
      </c>
      <c r="AL21" s="13">
        <f t="shared" si="17"/>
        <v>0</v>
      </c>
      <c r="AM21" s="13">
        <f t="shared" si="18"/>
        <v>0</v>
      </c>
      <c r="AN21" s="13" t="str">
        <f t="shared" si="19"/>
        <v/>
      </c>
      <c r="AO21" s="13">
        <f t="shared" si="20"/>
        <v>0</v>
      </c>
      <c r="AP21" s="13">
        <f t="shared" si="21"/>
        <v>0</v>
      </c>
      <c r="AQ21" s="13"/>
      <c r="AR21" s="13"/>
      <c r="AS21" s="29">
        <f t="shared" si="26"/>
        <v>0</v>
      </c>
      <c r="AT21" s="29">
        <f t="shared" si="27"/>
        <v>0</v>
      </c>
      <c r="AU21" s="29">
        <f t="shared" si="28"/>
        <v>0</v>
      </c>
      <c r="AV21" s="30" t="str">
        <f t="shared" si="29"/>
        <v/>
      </c>
      <c r="AW21" s="31">
        <f t="shared" si="33"/>
        <v>8983</v>
      </c>
      <c r="AX21" s="31">
        <f t="shared" si="22"/>
        <v>4275908</v>
      </c>
      <c r="AY21" s="33" t="s">
        <v>185</v>
      </c>
    </row>
    <row r="22" spans="1:51" ht="172.2" x14ac:dyDescent="0.3">
      <c r="A22" s="5">
        <v>15</v>
      </c>
      <c r="B22" s="6" t="s">
        <v>71</v>
      </c>
      <c r="C22" s="7" t="s">
        <v>223</v>
      </c>
      <c r="D22" s="5" t="s">
        <v>43</v>
      </c>
      <c r="E22" s="8">
        <v>360</v>
      </c>
      <c r="F22" s="9">
        <v>25300</v>
      </c>
      <c r="G22" s="14">
        <f t="shared" si="0"/>
        <v>9108000</v>
      </c>
      <c r="H22" s="9">
        <v>28560</v>
      </c>
      <c r="I22" s="14">
        <f t="shared" si="1"/>
        <v>10281600</v>
      </c>
      <c r="J22" s="9">
        <v>25500</v>
      </c>
      <c r="K22" s="14">
        <f t="shared" si="2"/>
        <v>9180000</v>
      </c>
      <c r="L22" s="9"/>
      <c r="M22" s="14">
        <f t="shared" si="3"/>
        <v>0</v>
      </c>
      <c r="N22" s="9"/>
      <c r="O22" s="14">
        <f t="shared" si="4"/>
        <v>0</v>
      </c>
      <c r="P22" s="9"/>
      <c r="Q22" s="14">
        <f t="shared" si="5"/>
        <v>0</v>
      </c>
      <c r="R22" s="9"/>
      <c r="S22" s="14">
        <f t="shared" si="6"/>
        <v>0</v>
      </c>
      <c r="T22" s="9"/>
      <c r="U22" s="14">
        <f t="shared" si="7"/>
        <v>0</v>
      </c>
      <c r="V22" s="9"/>
      <c r="W22" s="14">
        <f t="shared" si="8"/>
        <v>0</v>
      </c>
      <c r="X22" s="9"/>
      <c r="Y22" s="14">
        <f t="shared" si="9"/>
        <v>0</v>
      </c>
      <c r="Z22" s="9"/>
      <c r="AA22" s="14">
        <f t="shared" si="10"/>
        <v>0</v>
      </c>
      <c r="AB22" s="9"/>
      <c r="AC22" s="14">
        <f t="shared" si="11"/>
        <v>0</v>
      </c>
      <c r="AD22" s="31">
        <f t="shared" si="12"/>
        <v>25500</v>
      </c>
      <c r="AE22" s="31">
        <f t="shared" si="13"/>
        <v>26453.333333333332</v>
      </c>
      <c r="AF22" s="31">
        <f t="shared" si="14"/>
        <v>1827.1653820421766</v>
      </c>
      <c r="AG22" s="32">
        <f t="shared" si="23"/>
        <v>6.9071272002602449E-2</v>
      </c>
      <c r="AH22" s="31">
        <f t="shared" si="24"/>
        <v>28280.49871537551</v>
      </c>
      <c r="AI22" s="31">
        <f t="shared" si="25"/>
        <v>24626.167951291154</v>
      </c>
      <c r="AJ22" s="13">
        <f t="shared" si="15"/>
        <v>25300</v>
      </c>
      <c r="AK22" s="13" t="str">
        <f t="shared" si="16"/>
        <v/>
      </c>
      <c r="AL22" s="13">
        <f t="shared" si="17"/>
        <v>25500</v>
      </c>
      <c r="AM22" s="13" t="str">
        <f t="shared" si="18"/>
        <v/>
      </c>
      <c r="AN22" s="13" t="str">
        <f t="shared" si="19"/>
        <v/>
      </c>
      <c r="AO22" s="13" t="str">
        <f t="shared" si="20"/>
        <v/>
      </c>
      <c r="AP22" s="13" t="str">
        <f t="shared" si="21"/>
        <v/>
      </c>
      <c r="AQ22" s="13"/>
      <c r="AR22" s="13"/>
      <c r="AS22" s="29">
        <f t="shared" si="26"/>
        <v>25400</v>
      </c>
      <c r="AT22" s="29">
        <f t="shared" si="27"/>
        <v>25400</v>
      </c>
      <c r="AU22" s="29">
        <f t="shared" si="28"/>
        <v>141.42135623730951</v>
      </c>
      <c r="AV22" s="30">
        <f t="shared" si="29"/>
        <v>5.5677699306027366E-3</v>
      </c>
      <c r="AW22" s="31">
        <f t="shared" ref="AW22:AW24" si="34">+ROUND(+IFERROR(AVERAGEIF(AJ22:AR22,"&lt;&gt;q"),"q"),0)</f>
        <v>25400</v>
      </c>
      <c r="AX22" s="31">
        <f t="shared" si="22"/>
        <v>9144000</v>
      </c>
      <c r="AY22" s="34" t="s">
        <v>187</v>
      </c>
    </row>
    <row r="23" spans="1:51" ht="81" customHeight="1" x14ac:dyDescent="0.3">
      <c r="A23" s="5">
        <v>16</v>
      </c>
      <c r="B23" s="6" t="s">
        <v>72</v>
      </c>
      <c r="C23" s="7" t="s">
        <v>73</v>
      </c>
      <c r="D23" s="5" t="s">
        <v>43</v>
      </c>
      <c r="E23" s="8">
        <v>4</v>
      </c>
      <c r="F23" s="9">
        <v>188020</v>
      </c>
      <c r="G23" s="10">
        <f t="shared" si="0"/>
        <v>752080</v>
      </c>
      <c r="H23" s="9">
        <v>189210</v>
      </c>
      <c r="I23" s="10">
        <f t="shared" si="1"/>
        <v>756840</v>
      </c>
      <c r="J23" s="9">
        <v>192780</v>
      </c>
      <c r="K23" s="10">
        <f t="shared" si="2"/>
        <v>771120</v>
      </c>
      <c r="L23" s="9"/>
      <c r="M23" s="10">
        <f t="shared" si="3"/>
        <v>0</v>
      </c>
      <c r="N23" s="9"/>
      <c r="O23" s="10">
        <f t="shared" si="4"/>
        <v>0</v>
      </c>
      <c r="P23" s="9"/>
      <c r="Q23" s="10">
        <f t="shared" si="5"/>
        <v>0</v>
      </c>
      <c r="R23" s="9"/>
      <c r="S23" s="10">
        <f t="shared" si="6"/>
        <v>0</v>
      </c>
      <c r="T23" s="9"/>
      <c r="U23" s="10">
        <f t="shared" si="7"/>
        <v>0</v>
      </c>
      <c r="V23" s="9"/>
      <c r="W23" s="10">
        <f t="shared" si="8"/>
        <v>0</v>
      </c>
      <c r="X23" s="9"/>
      <c r="Y23" s="10">
        <f t="shared" si="9"/>
        <v>0</v>
      </c>
      <c r="Z23" s="9"/>
      <c r="AA23" s="10">
        <f t="shared" si="10"/>
        <v>0</v>
      </c>
      <c r="AB23" s="9"/>
      <c r="AC23" s="10">
        <f t="shared" si="11"/>
        <v>0</v>
      </c>
      <c r="AD23" s="31">
        <f t="shared" si="12"/>
        <v>189210</v>
      </c>
      <c r="AE23" s="31">
        <f t="shared" si="13"/>
        <v>190003.33333333334</v>
      </c>
      <c r="AF23" s="31">
        <f t="shared" si="14"/>
        <v>2477.1825393646982</v>
      </c>
      <c r="AG23" s="32">
        <f t="shared" si="23"/>
        <v>1.3037574109391228E-2</v>
      </c>
      <c r="AH23" s="31">
        <f t="shared" si="24"/>
        <v>192480.51587269804</v>
      </c>
      <c r="AI23" s="31">
        <f t="shared" si="25"/>
        <v>187526.15079396864</v>
      </c>
      <c r="AJ23" s="13">
        <f t="shared" si="15"/>
        <v>188020</v>
      </c>
      <c r="AK23" s="13">
        <f t="shared" si="16"/>
        <v>189210</v>
      </c>
      <c r="AL23" s="13" t="str">
        <f t="shared" si="17"/>
        <v/>
      </c>
      <c r="AM23" s="13" t="str">
        <f t="shared" si="18"/>
        <v/>
      </c>
      <c r="AN23" s="13" t="str">
        <f t="shared" si="19"/>
        <v/>
      </c>
      <c r="AO23" s="13" t="str">
        <f t="shared" si="20"/>
        <v/>
      </c>
      <c r="AP23" s="13" t="str">
        <f t="shared" si="21"/>
        <v/>
      </c>
      <c r="AQ23" s="13"/>
      <c r="AR23" s="13"/>
      <c r="AS23" s="29">
        <f t="shared" si="26"/>
        <v>188615</v>
      </c>
      <c r="AT23" s="29">
        <f t="shared" si="27"/>
        <v>188615</v>
      </c>
      <c r="AU23" s="29">
        <f t="shared" si="28"/>
        <v>841.45706961199153</v>
      </c>
      <c r="AV23" s="30">
        <f t="shared" si="29"/>
        <v>4.4612415216816878E-3</v>
      </c>
      <c r="AW23" s="31">
        <f t="shared" si="34"/>
        <v>188615</v>
      </c>
      <c r="AX23" s="31">
        <f t="shared" si="22"/>
        <v>754460</v>
      </c>
      <c r="AY23" s="34" t="s">
        <v>187</v>
      </c>
    </row>
    <row r="24" spans="1:51" ht="72" customHeight="1" x14ac:dyDescent="0.3">
      <c r="A24" s="5">
        <v>17</v>
      </c>
      <c r="B24" s="79" t="s">
        <v>74</v>
      </c>
      <c r="C24" s="7" t="s">
        <v>226</v>
      </c>
      <c r="D24" s="5" t="s">
        <v>75</v>
      </c>
      <c r="E24" s="8">
        <v>64</v>
      </c>
      <c r="F24" s="9">
        <v>254660</v>
      </c>
      <c r="G24" s="10">
        <f t="shared" si="0"/>
        <v>16298240</v>
      </c>
      <c r="H24" s="9">
        <v>285600</v>
      </c>
      <c r="I24" s="10">
        <f t="shared" si="1"/>
        <v>18278400</v>
      </c>
      <c r="J24" s="9">
        <v>265600</v>
      </c>
      <c r="K24" s="10">
        <f t="shared" si="2"/>
        <v>16998400</v>
      </c>
      <c r="L24" s="9"/>
      <c r="M24" s="10">
        <f t="shared" si="3"/>
        <v>0</v>
      </c>
      <c r="N24" s="9"/>
      <c r="O24" s="10">
        <f t="shared" si="4"/>
        <v>0</v>
      </c>
      <c r="P24" s="9"/>
      <c r="Q24" s="10">
        <f t="shared" si="5"/>
        <v>0</v>
      </c>
      <c r="R24" s="9"/>
      <c r="S24" s="10">
        <f t="shared" si="6"/>
        <v>0</v>
      </c>
      <c r="T24" s="9"/>
      <c r="U24" s="10">
        <f t="shared" si="7"/>
        <v>0</v>
      </c>
      <c r="V24" s="9"/>
      <c r="W24" s="10">
        <f t="shared" si="8"/>
        <v>0</v>
      </c>
      <c r="X24" s="9"/>
      <c r="Y24" s="10">
        <f t="shared" si="9"/>
        <v>0</v>
      </c>
      <c r="Z24" s="9"/>
      <c r="AA24" s="10">
        <f t="shared" si="10"/>
        <v>0</v>
      </c>
      <c r="AB24" s="9"/>
      <c r="AC24" s="10">
        <f t="shared" si="11"/>
        <v>0</v>
      </c>
      <c r="AD24" s="31">
        <f t="shared" si="12"/>
        <v>265600</v>
      </c>
      <c r="AE24" s="31">
        <f t="shared" si="13"/>
        <v>268620</v>
      </c>
      <c r="AF24" s="31">
        <f t="shared" si="14"/>
        <v>15689.525168085871</v>
      </c>
      <c r="AG24" s="32">
        <f t="shared" si="23"/>
        <v>5.8407881647255869E-2</v>
      </c>
      <c r="AH24" s="31">
        <f t="shared" si="24"/>
        <v>284309.52516808588</v>
      </c>
      <c r="AI24" s="31">
        <f t="shared" si="25"/>
        <v>252930.47483191412</v>
      </c>
      <c r="AJ24" s="13">
        <f t="shared" si="15"/>
        <v>254660</v>
      </c>
      <c r="AK24" s="13" t="str">
        <f t="shared" si="16"/>
        <v/>
      </c>
      <c r="AL24" s="13">
        <f t="shared" si="17"/>
        <v>265600</v>
      </c>
      <c r="AM24" s="13" t="str">
        <f t="shared" si="18"/>
        <v/>
      </c>
      <c r="AN24" s="13" t="str">
        <f t="shared" si="19"/>
        <v/>
      </c>
      <c r="AO24" s="13" t="str">
        <f t="shared" si="20"/>
        <v/>
      </c>
      <c r="AP24" s="13" t="str">
        <f t="shared" si="21"/>
        <v/>
      </c>
      <c r="AQ24" s="13"/>
      <c r="AR24" s="13"/>
      <c r="AS24" s="29">
        <f t="shared" si="26"/>
        <v>260130</v>
      </c>
      <c r="AT24" s="29">
        <f t="shared" si="27"/>
        <v>260130</v>
      </c>
      <c r="AU24" s="29">
        <f t="shared" si="28"/>
        <v>7735.7481861808301</v>
      </c>
      <c r="AV24" s="30">
        <f t="shared" si="29"/>
        <v>2.9738008634839618E-2</v>
      </c>
      <c r="AW24" s="31">
        <f t="shared" si="34"/>
        <v>260130</v>
      </c>
      <c r="AX24" s="31">
        <f t="shared" si="22"/>
        <v>16648320</v>
      </c>
      <c r="AY24" s="34" t="s">
        <v>187</v>
      </c>
    </row>
    <row r="25" spans="1:51" ht="60.75" customHeight="1" x14ac:dyDescent="0.3">
      <c r="A25" s="5">
        <v>18</v>
      </c>
      <c r="B25" s="79" t="s">
        <v>76</v>
      </c>
      <c r="C25" s="7" t="s">
        <v>229</v>
      </c>
      <c r="D25" s="5" t="s">
        <v>75</v>
      </c>
      <c r="E25" s="8">
        <v>660</v>
      </c>
      <c r="F25" s="9"/>
      <c r="G25" s="14">
        <f t="shared" si="0"/>
        <v>0</v>
      </c>
      <c r="H25" s="9"/>
      <c r="I25" s="14">
        <f t="shared" si="1"/>
        <v>0</v>
      </c>
      <c r="J25" s="9"/>
      <c r="K25" s="14">
        <f t="shared" si="2"/>
        <v>0</v>
      </c>
      <c r="L25" s="9">
        <v>3512</v>
      </c>
      <c r="M25" s="14">
        <f t="shared" si="3"/>
        <v>2317920</v>
      </c>
      <c r="N25" s="9"/>
      <c r="O25" s="14">
        <f t="shared" si="4"/>
        <v>0</v>
      </c>
      <c r="P25" s="9"/>
      <c r="Q25" s="14">
        <f t="shared" si="5"/>
        <v>0</v>
      </c>
      <c r="R25" s="9"/>
      <c r="S25" s="14">
        <f t="shared" si="6"/>
        <v>0</v>
      </c>
      <c r="T25" s="9"/>
      <c r="U25" s="14">
        <f t="shared" si="7"/>
        <v>0</v>
      </c>
      <c r="V25" s="9"/>
      <c r="W25" s="14">
        <f t="shared" si="8"/>
        <v>0</v>
      </c>
      <c r="X25" s="9"/>
      <c r="Y25" s="14">
        <f t="shared" si="9"/>
        <v>0</v>
      </c>
      <c r="Z25" s="9"/>
      <c r="AA25" s="14">
        <f t="shared" si="10"/>
        <v>0</v>
      </c>
      <c r="AB25" s="9"/>
      <c r="AC25" s="14">
        <f t="shared" si="11"/>
        <v>0</v>
      </c>
      <c r="AD25" s="31">
        <f t="shared" si="12"/>
        <v>3512</v>
      </c>
      <c r="AE25" s="31">
        <f t="shared" si="13"/>
        <v>3512</v>
      </c>
      <c r="AF25" s="31" t="str">
        <f t="shared" si="14"/>
        <v/>
      </c>
      <c r="AG25" s="32" t="str">
        <f t="shared" si="23"/>
        <v/>
      </c>
      <c r="AH25" s="31" t="str">
        <f t="shared" si="24"/>
        <v/>
      </c>
      <c r="AI25" s="31" t="str">
        <f t="shared" si="25"/>
        <v/>
      </c>
      <c r="AJ25" s="13">
        <f t="shared" si="15"/>
        <v>0</v>
      </c>
      <c r="AK25" s="13">
        <f t="shared" si="16"/>
        <v>0</v>
      </c>
      <c r="AL25" s="13">
        <f t="shared" si="17"/>
        <v>0</v>
      </c>
      <c r="AM25" s="13" t="str">
        <f t="shared" si="18"/>
        <v/>
      </c>
      <c r="AN25" s="13">
        <f t="shared" si="19"/>
        <v>0</v>
      </c>
      <c r="AO25" s="13">
        <f t="shared" si="20"/>
        <v>0</v>
      </c>
      <c r="AP25" s="13">
        <f t="shared" si="21"/>
        <v>0</v>
      </c>
      <c r="AQ25" s="13"/>
      <c r="AR25" s="13"/>
      <c r="AS25" s="29">
        <f t="shared" si="26"/>
        <v>0</v>
      </c>
      <c r="AT25" s="29">
        <f t="shared" si="27"/>
        <v>0</v>
      </c>
      <c r="AU25" s="29">
        <f t="shared" si="28"/>
        <v>0</v>
      </c>
      <c r="AV25" s="30" t="str">
        <f t="shared" si="29"/>
        <v/>
      </c>
      <c r="AW25" s="31">
        <f>ROUND(AE25,0)</f>
        <v>3512</v>
      </c>
      <c r="AX25" s="31">
        <f t="shared" si="22"/>
        <v>2317920</v>
      </c>
      <c r="AY25" s="33" t="s">
        <v>184</v>
      </c>
    </row>
    <row r="26" spans="1:51" ht="57.75" customHeight="1" x14ac:dyDescent="0.3">
      <c r="A26" s="5">
        <v>19</v>
      </c>
      <c r="B26" s="6" t="s">
        <v>77</v>
      </c>
      <c r="C26" s="7" t="s">
        <v>219</v>
      </c>
      <c r="D26" s="5" t="s">
        <v>75</v>
      </c>
      <c r="E26" s="8">
        <f>40+8</f>
        <v>48</v>
      </c>
      <c r="F26" s="9">
        <v>18000</v>
      </c>
      <c r="G26" s="10">
        <f t="shared" si="0"/>
        <v>864000</v>
      </c>
      <c r="H26" s="9">
        <v>17850</v>
      </c>
      <c r="I26" s="10">
        <f t="shared" si="1"/>
        <v>856800</v>
      </c>
      <c r="J26" s="9">
        <v>19000</v>
      </c>
      <c r="K26" s="10">
        <f t="shared" si="2"/>
        <v>912000</v>
      </c>
      <c r="L26" s="9"/>
      <c r="M26" s="10">
        <f t="shared" si="3"/>
        <v>0</v>
      </c>
      <c r="N26" s="9"/>
      <c r="O26" s="10">
        <f t="shared" si="4"/>
        <v>0</v>
      </c>
      <c r="P26" s="9"/>
      <c r="Q26" s="10">
        <f t="shared" si="5"/>
        <v>0</v>
      </c>
      <c r="R26" s="9"/>
      <c r="S26" s="10">
        <f t="shared" si="6"/>
        <v>0</v>
      </c>
      <c r="T26" s="9"/>
      <c r="U26" s="10">
        <f t="shared" si="7"/>
        <v>0</v>
      </c>
      <c r="V26" s="9"/>
      <c r="W26" s="10">
        <f t="shared" si="8"/>
        <v>0</v>
      </c>
      <c r="X26" s="9"/>
      <c r="Y26" s="10">
        <f t="shared" si="9"/>
        <v>0</v>
      </c>
      <c r="Z26" s="9"/>
      <c r="AA26" s="10">
        <f t="shared" si="10"/>
        <v>0</v>
      </c>
      <c r="AB26" s="9"/>
      <c r="AC26" s="10">
        <f t="shared" si="11"/>
        <v>0</v>
      </c>
      <c r="AD26" s="31">
        <f t="shared" si="12"/>
        <v>18000</v>
      </c>
      <c r="AE26" s="31">
        <f t="shared" si="13"/>
        <v>18283.333333333332</v>
      </c>
      <c r="AF26" s="31">
        <f t="shared" si="14"/>
        <v>625.16664445036838</v>
      </c>
      <c r="AG26" s="32">
        <f t="shared" si="23"/>
        <v>3.4193253114878856E-2</v>
      </c>
      <c r="AH26" s="31">
        <f t="shared" si="24"/>
        <v>18908.4999777837</v>
      </c>
      <c r="AI26" s="31">
        <f t="shared" si="25"/>
        <v>17658.166688882964</v>
      </c>
      <c r="AJ26" s="13">
        <f t="shared" si="15"/>
        <v>18000</v>
      </c>
      <c r="AK26" s="13">
        <f t="shared" si="16"/>
        <v>17850</v>
      </c>
      <c r="AL26" s="13" t="str">
        <f t="shared" si="17"/>
        <v/>
      </c>
      <c r="AM26" s="13" t="str">
        <f t="shared" si="18"/>
        <v/>
      </c>
      <c r="AN26" s="13" t="str">
        <f t="shared" si="19"/>
        <v/>
      </c>
      <c r="AO26" s="13" t="str">
        <f t="shared" si="20"/>
        <v/>
      </c>
      <c r="AP26" s="13" t="str">
        <f t="shared" si="21"/>
        <v/>
      </c>
      <c r="AQ26" s="13"/>
      <c r="AR26" s="13"/>
      <c r="AS26" s="29">
        <f t="shared" si="26"/>
        <v>17925</v>
      </c>
      <c r="AT26" s="29">
        <f t="shared" si="27"/>
        <v>17925</v>
      </c>
      <c r="AU26" s="29">
        <f t="shared" si="28"/>
        <v>106.06601717798213</v>
      </c>
      <c r="AV26" s="30">
        <f t="shared" si="29"/>
        <v>5.9172115580464228E-3</v>
      </c>
      <c r="AW26" s="31">
        <f t="shared" ref="AW26:AW27" si="35">+ROUND(+IFERROR(AVERAGEIF(AJ26:AR26,"&lt;&gt;q"),"q"),0)</f>
        <v>17925</v>
      </c>
      <c r="AX26" s="31">
        <f t="shared" si="22"/>
        <v>860400</v>
      </c>
      <c r="AY26" s="34" t="s">
        <v>187</v>
      </c>
    </row>
    <row r="27" spans="1:51" ht="45" customHeight="1" x14ac:dyDescent="0.3">
      <c r="A27" s="5">
        <v>20</v>
      </c>
      <c r="B27" s="79" t="s">
        <v>78</v>
      </c>
      <c r="C27" s="7" t="s">
        <v>227</v>
      </c>
      <c r="D27" s="5" t="s">
        <v>75</v>
      </c>
      <c r="E27" s="8">
        <v>14</v>
      </c>
      <c r="F27" s="9">
        <v>21420</v>
      </c>
      <c r="G27" s="14">
        <f t="shared" si="0"/>
        <v>299880</v>
      </c>
      <c r="H27" s="9">
        <v>17850</v>
      </c>
      <c r="I27" s="14">
        <f t="shared" si="1"/>
        <v>249900</v>
      </c>
      <c r="J27" s="9">
        <v>18600</v>
      </c>
      <c r="K27" s="14">
        <f t="shared" si="2"/>
        <v>260400</v>
      </c>
      <c r="L27" s="9"/>
      <c r="M27" s="14">
        <f t="shared" si="3"/>
        <v>0</v>
      </c>
      <c r="N27" s="9"/>
      <c r="O27" s="14">
        <f t="shared" si="4"/>
        <v>0</v>
      </c>
      <c r="P27" s="9"/>
      <c r="Q27" s="14">
        <f t="shared" si="5"/>
        <v>0</v>
      </c>
      <c r="R27" s="9"/>
      <c r="S27" s="14">
        <f t="shared" si="6"/>
        <v>0</v>
      </c>
      <c r="T27" s="9"/>
      <c r="U27" s="14">
        <f t="shared" si="7"/>
        <v>0</v>
      </c>
      <c r="V27" s="9"/>
      <c r="W27" s="14">
        <f t="shared" si="8"/>
        <v>0</v>
      </c>
      <c r="X27" s="9"/>
      <c r="Y27" s="14">
        <f t="shared" si="9"/>
        <v>0</v>
      </c>
      <c r="Z27" s="9"/>
      <c r="AA27" s="14">
        <f t="shared" si="10"/>
        <v>0</v>
      </c>
      <c r="AB27" s="9"/>
      <c r="AC27" s="14">
        <f t="shared" si="11"/>
        <v>0</v>
      </c>
      <c r="AD27" s="31">
        <f t="shared" si="12"/>
        <v>18600</v>
      </c>
      <c r="AE27" s="31">
        <f t="shared" si="13"/>
        <v>19290</v>
      </c>
      <c r="AF27" s="31">
        <f t="shared" si="14"/>
        <v>1882.365533046119</v>
      </c>
      <c r="AG27" s="32">
        <f t="shared" si="23"/>
        <v>9.7582453760814883E-2</v>
      </c>
      <c r="AH27" s="31">
        <f t="shared" si="24"/>
        <v>21172.365533046119</v>
      </c>
      <c r="AI27" s="31">
        <f t="shared" si="25"/>
        <v>17407.634466953881</v>
      </c>
      <c r="AJ27" s="13" t="str">
        <f t="shared" si="15"/>
        <v/>
      </c>
      <c r="AK27" s="13">
        <f t="shared" si="16"/>
        <v>17850</v>
      </c>
      <c r="AL27" s="13">
        <f t="shared" si="17"/>
        <v>18600</v>
      </c>
      <c r="AM27" s="13" t="str">
        <f t="shared" si="18"/>
        <v/>
      </c>
      <c r="AN27" s="13" t="str">
        <f t="shared" si="19"/>
        <v/>
      </c>
      <c r="AO27" s="13" t="str">
        <f t="shared" si="20"/>
        <v/>
      </c>
      <c r="AP27" s="13" t="str">
        <f t="shared" si="21"/>
        <v/>
      </c>
      <c r="AQ27" s="13"/>
      <c r="AR27" s="13"/>
      <c r="AS27" s="29">
        <f t="shared" si="26"/>
        <v>18225</v>
      </c>
      <c r="AT27" s="29">
        <f t="shared" si="27"/>
        <v>18225</v>
      </c>
      <c r="AU27" s="29">
        <f t="shared" si="28"/>
        <v>530.33008588991061</v>
      </c>
      <c r="AV27" s="30">
        <f t="shared" si="29"/>
        <v>2.9099044493273558E-2</v>
      </c>
      <c r="AW27" s="31">
        <f t="shared" si="35"/>
        <v>18225</v>
      </c>
      <c r="AX27" s="31">
        <f t="shared" si="22"/>
        <v>255150</v>
      </c>
      <c r="AY27" s="34" t="s">
        <v>187</v>
      </c>
    </row>
    <row r="28" spans="1:51" ht="58.5" customHeight="1" x14ac:dyDescent="0.3">
      <c r="A28" s="5">
        <v>21</v>
      </c>
      <c r="B28" s="79" t="s">
        <v>79</v>
      </c>
      <c r="C28" s="7" t="s">
        <v>230</v>
      </c>
      <c r="D28" s="5" t="s">
        <v>62</v>
      </c>
      <c r="E28" s="8">
        <v>34</v>
      </c>
      <c r="F28" s="9"/>
      <c r="G28" s="10">
        <f t="shared" si="0"/>
        <v>0</v>
      </c>
      <c r="H28" s="9"/>
      <c r="I28" s="10">
        <f t="shared" si="1"/>
        <v>0</v>
      </c>
      <c r="J28" s="9"/>
      <c r="K28" s="10">
        <f t="shared" si="2"/>
        <v>0</v>
      </c>
      <c r="L28" s="9">
        <v>175740</v>
      </c>
      <c r="M28" s="10">
        <f t="shared" si="3"/>
        <v>5975160</v>
      </c>
      <c r="N28" s="9"/>
      <c r="O28" s="10">
        <f t="shared" si="4"/>
        <v>0</v>
      </c>
      <c r="P28" s="9"/>
      <c r="Q28" s="10">
        <f t="shared" si="5"/>
        <v>0</v>
      </c>
      <c r="R28" s="9"/>
      <c r="S28" s="10">
        <f t="shared" si="6"/>
        <v>0</v>
      </c>
      <c r="T28" s="9"/>
      <c r="U28" s="10">
        <f t="shared" si="7"/>
        <v>0</v>
      </c>
      <c r="V28" s="9"/>
      <c r="W28" s="10">
        <f t="shared" si="8"/>
        <v>0</v>
      </c>
      <c r="X28" s="9"/>
      <c r="Y28" s="10">
        <f t="shared" si="9"/>
        <v>0</v>
      </c>
      <c r="Z28" s="9"/>
      <c r="AA28" s="10">
        <f t="shared" si="10"/>
        <v>0</v>
      </c>
      <c r="AB28" s="9"/>
      <c r="AC28" s="10">
        <f t="shared" si="11"/>
        <v>0</v>
      </c>
      <c r="AD28" s="31">
        <f t="shared" si="12"/>
        <v>175740</v>
      </c>
      <c r="AE28" s="31">
        <f t="shared" si="13"/>
        <v>175740</v>
      </c>
      <c r="AF28" s="31" t="str">
        <f t="shared" si="14"/>
        <v/>
      </c>
      <c r="AG28" s="32" t="str">
        <f t="shared" si="23"/>
        <v/>
      </c>
      <c r="AH28" s="31" t="str">
        <f t="shared" si="24"/>
        <v/>
      </c>
      <c r="AI28" s="31" t="str">
        <f t="shared" si="25"/>
        <v/>
      </c>
      <c r="AJ28" s="13">
        <f t="shared" si="15"/>
        <v>0</v>
      </c>
      <c r="AK28" s="13">
        <f t="shared" si="16"/>
        <v>0</v>
      </c>
      <c r="AL28" s="13">
        <f t="shared" si="17"/>
        <v>0</v>
      </c>
      <c r="AM28" s="13" t="str">
        <f t="shared" si="18"/>
        <v/>
      </c>
      <c r="AN28" s="13">
        <f t="shared" si="19"/>
        <v>0</v>
      </c>
      <c r="AO28" s="13">
        <f t="shared" si="20"/>
        <v>0</v>
      </c>
      <c r="AP28" s="13">
        <f t="shared" si="21"/>
        <v>0</v>
      </c>
      <c r="AQ28" s="13"/>
      <c r="AR28" s="13"/>
      <c r="AS28" s="29">
        <f t="shared" si="26"/>
        <v>0</v>
      </c>
      <c r="AT28" s="29">
        <f t="shared" si="27"/>
        <v>0</v>
      </c>
      <c r="AU28" s="29">
        <f t="shared" si="28"/>
        <v>0</v>
      </c>
      <c r="AV28" s="30" t="str">
        <f t="shared" si="29"/>
        <v/>
      </c>
      <c r="AW28" s="31">
        <f t="shared" ref="AW28:AW29" si="36">ROUND(AE28,0)</f>
        <v>175740</v>
      </c>
      <c r="AX28" s="31">
        <f t="shared" si="22"/>
        <v>5975160</v>
      </c>
      <c r="AY28" s="33" t="s">
        <v>185</v>
      </c>
    </row>
    <row r="29" spans="1:51" ht="99.75" customHeight="1" x14ac:dyDescent="0.3">
      <c r="A29" s="5">
        <v>22</v>
      </c>
      <c r="B29" s="79" t="s">
        <v>80</v>
      </c>
      <c r="C29" s="7" t="s">
        <v>231</v>
      </c>
      <c r="D29" s="5" t="s">
        <v>62</v>
      </c>
      <c r="E29" s="8">
        <v>16</v>
      </c>
      <c r="F29" s="9"/>
      <c r="G29" s="10">
        <f t="shared" si="0"/>
        <v>0</v>
      </c>
      <c r="H29" s="9"/>
      <c r="I29" s="10">
        <f t="shared" si="1"/>
        <v>0</v>
      </c>
      <c r="J29" s="9"/>
      <c r="K29" s="10">
        <f t="shared" si="2"/>
        <v>0</v>
      </c>
      <c r="L29" s="9"/>
      <c r="M29" s="10">
        <f t="shared" si="3"/>
        <v>0</v>
      </c>
      <c r="N29" s="9">
        <v>147225</v>
      </c>
      <c r="O29" s="10">
        <f t="shared" si="4"/>
        <v>2355600</v>
      </c>
      <c r="P29" s="9"/>
      <c r="Q29" s="10">
        <f t="shared" si="5"/>
        <v>0</v>
      </c>
      <c r="R29" s="9"/>
      <c r="S29" s="10">
        <f t="shared" si="6"/>
        <v>0</v>
      </c>
      <c r="T29" s="9"/>
      <c r="U29" s="10">
        <f t="shared" si="7"/>
        <v>0</v>
      </c>
      <c r="V29" s="9"/>
      <c r="W29" s="10">
        <f t="shared" si="8"/>
        <v>0</v>
      </c>
      <c r="X29" s="9"/>
      <c r="Y29" s="10">
        <f t="shared" si="9"/>
        <v>0</v>
      </c>
      <c r="Z29" s="9"/>
      <c r="AA29" s="10">
        <f t="shared" si="10"/>
        <v>0</v>
      </c>
      <c r="AB29" s="9"/>
      <c r="AC29" s="10">
        <f t="shared" si="11"/>
        <v>0</v>
      </c>
      <c r="AD29" s="31">
        <f t="shared" si="12"/>
        <v>147225</v>
      </c>
      <c r="AE29" s="31">
        <f t="shared" si="13"/>
        <v>147225</v>
      </c>
      <c r="AF29" s="31" t="str">
        <f t="shared" si="14"/>
        <v/>
      </c>
      <c r="AG29" s="32" t="str">
        <f t="shared" si="23"/>
        <v/>
      </c>
      <c r="AH29" s="31" t="str">
        <f t="shared" si="24"/>
        <v/>
      </c>
      <c r="AI29" s="31" t="str">
        <f t="shared" si="25"/>
        <v/>
      </c>
      <c r="AJ29" s="13">
        <f t="shared" si="15"/>
        <v>0</v>
      </c>
      <c r="AK29" s="13">
        <f t="shared" si="16"/>
        <v>0</v>
      </c>
      <c r="AL29" s="13">
        <f t="shared" si="17"/>
        <v>0</v>
      </c>
      <c r="AM29" s="13">
        <f t="shared" si="18"/>
        <v>0</v>
      </c>
      <c r="AN29" s="13" t="str">
        <f t="shared" si="19"/>
        <v/>
      </c>
      <c r="AO29" s="13">
        <f t="shared" si="20"/>
        <v>0</v>
      </c>
      <c r="AP29" s="13">
        <f t="shared" si="21"/>
        <v>0</v>
      </c>
      <c r="AQ29" s="13"/>
      <c r="AR29" s="13"/>
      <c r="AS29" s="29">
        <f t="shared" si="26"/>
        <v>0</v>
      </c>
      <c r="AT29" s="29">
        <f t="shared" si="27"/>
        <v>0</v>
      </c>
      <c r="AU29" s="29">
        <f t="shared" si="28"/>
        <v>0</v>
      </c>
      <c r="AV29" s="30" t="str">
        <f t="shared" si="29"/>
        <v/>
      </c>
      <c r="AW29" s="31">
        <f t="shared" si="36"/>
        <v>147225</v>
      </c>
      <c r="AX29" s="31">
        <f t="shared" si="22"/>
        <v>2355600</v>
      </c>
      <c r="AY29" s="33" t="s">
        <v>185</v>
      </c>
    </row>
    <row r="30" spans="1:51" ht="76.5" customHeight="1" x14ac:dyDescent="0.3">
      <c r="A30" s="5">
        <v>23</v>
      </c>
      <c r="B30" s="79" t="s">
        <v>81</v>
      </c>
      <c r="C30" s="7" t="s">
        <v>232</v>
      </c>
      <c r="D30" s="5" t="s">
        <v>43</v>
      </c>
      <c r="E30" s="8">
        <v>2000</v>
      </c>
      <c r="F30" s="9">
        <v>1607</v>
      </c>
      <c r="G30" s="14">
        <f t="shared" si="0"/>
        <v>3214000</v>
      </c>
      <c r="H30" s="9">
        <v>1428</v>
      </c>
      <c r="I30" s="14">
        <f t="shared" si="1"/>
        <v>2856000</v>
      </c>
      <c r="J30" s="9">
        <v>1515</v>
      </c>
      <c r="K30" s="14">
        <f t="shared" si="2"/>
        <v>3030000</v>
      </c>
      <c r="L30" s="9"/>
      <c r="M30" s="14">
        <f t="shared" si="3"/>
        <v>0</v>
      </c>
      <c r="N30" s="9"/>
      <c r="O30" s="14">
        <f t="shared" si="4"/>
        <v>0</v>
      </c>
      <c r="P30" s="9"/>
      <c r="Q30" s="14">
        <f t="shared" si="5"/>
        <v>0</v>
      </c>
      <c r="R30" s="9"/>
      <c r="S30" s="14">
        <f t="shared" si="6"/>
        <v>0</v>
      </c>
      <c r="T30" s="9"/>
      <c r="U30" s="14">
        <f t="shared" si="7"/>
        <v>0</v>
      </c>
      <c r="V30" s="9"/>
      <c r="W30" s="14">
        <f t="shared" si="8"/>
        <v>0</v>
      </c>
      <c r="X30" s="9"/>
      <c r="Y30" s="14">
        <f t="shared" si="9"/>
        <v>0</v>
      </c>
      <c r="Z30" s="9"/>
      <c r="AA30" s="14">
        <f t="shared" si="10"/>
        <v>0</v>
      </c>
      <c r="AB30" s="9"/>
      <c r="AC30" s="14">
        <f t="shared" si="11"/>
        <v>0</v>
      </c>
      <c r="AD30" s="31">
        <f t="shared" si="12"/>
        <v>1515</v>
      </c>
      <c r="AE30" s="31">
        <f t="shared" si="13"/>
        <v>1516.6666666666667</v>
      </c>
      <c r="AF30" s="31">
        <f t="shared" si="14"/>
        <v>89.511637977043705</v>
      </c>
      <c r="AG30" s="32">
        <f t="shared" si="23"/>
        <v>5.9018662402446395E-2</v>
      </c>
      <c r="AH30" s="31">
        <f t="shared" si="24"/>
        <v>1606.1783046437104</v>
      </c>
      <c r="AI30" s="31">
        <f t="shared" si="25"/>
        <v>1427.1550286896231</v>
      </c>
      <c r="AJ30" s="13" t="str">
        <f t="shared" si="15"/>
        <v/>
      </c>
      <c r="AK30" s="13">
        <f t="shared" si="16"/>
        <v>1428</v>
      </c>
      <c r="AL30" s="13">
        <f t="shared" si="17"/>
        <v>1515</v>
      </c>
      <c r="AM30" s="13" t="str">
        <f t="shared" si="18"/>
        <v/>
      </c>
      <c r="AN30" s="13" t="str">
        <f t="shared" si="19"/>
        <v/>
      </c>
      <c r="AO30" s="13" t="str">
        <f t="shared" si="20"/>
        <v/>
      </c>
      <c r="AP30" s="13" t="str">
        <f t="shared" si="21"/>
        <v/>
      </c>
      <c r="AQ30" s="13"/>
      <c r="AR30" s="13"/>
      <c r="AS30" s="29">
        <f t="shared" si="26"/>
        <v>1471.5</v>
      </c>
      <c r="AT30" s="29">
        <f t="shared" si="27"/>
        <v>1471.5</v>
      </c>
      <c r="AU30" s="29">
        <f t="shared" si="28"/>
        <v>61.518289963229634</v>
      </c>
      <c r="AV30" s="30">
        <f t="shared" si="29"/>
        <v>4.1806517134372841E-2</v>
      </c>
      <c r="AW30" s="31">
        <f>+ROUND(+IFERROR(AVERAGEIF(AJ30:AR30,"&lt;&gt;q"),"q"),0)</f>
        <v>1472</v>
      </c>
      <c r="AX30" s="31">
        <f t="shared" si="22"/>
        <v>2944000</v>
      </c>
      <c r="AY30" s="34" t="s">
        <v>187</v>
      </c>
    </row>
    <row r="31" spans="1:51" ht="73.8" customHeight="1" x14ac:dyDescent="0.3">
      <c r="A31" s="5">
        <v>24</v>
      </c>
      <c r="B31" s="79" t="s">
        <v>82</v>
      </c>
      <c r="C31" s="7" t="s">
        <v>233</v>
      </c>
      <c r="D31" s="5" t="s">
        <v>43</v>
      </c>
      <c r="E31" s="8">
        <v>1000</v>
      </c>
      <c r="F31" s="9">
        <v>654.5</v>
      </c>
      <c r="G31" s="10">
        <f t="shared" si="0"/>
        <v>654500</v>
      </c>
      <c r="H31" s="9">
        <v>595</v>
      </c>
      <c r="I31" s="10">
        <f t="shared" si="1"/>
        <v>595000</v>
      </c>
      <c r="J31" s="9">
        <v>635</v>
      </c>
      <c r="K31" s="10">
        <f t="shared" si="2"/>
        <v>635000</v>
      </c>
      <c r="L31" s="9"/>
      <c r="M31" s="10">
        <f t="shared" si="3"/>
        <v>0</v>
      </c>
      <c r="N31" s="9"/>
      <c r="O31" s="10">
        <f t="shared" si="4"/>
        <v>0</v>
      </c>
      <c r="P31" s="9"/>
      <c r="Q31" s="10">
        <f t="shared" si="5"/>
        <v>0</v>
      </c>
      <c r="R31" s="9"/>
      <c r="S31" s="10">
        <f t="shared" si="6"/>
        <v>0</v>
      </c>
      <c r="T31" s="9"/>
      <c r="U31" s="10">
        <f t="shared" si="7"/>
        <v>0</v>
      </c>
      <c r="V31" s="9"/>
      <c r="W31" s="10">
        <f t="shared" si="8"/>
        <v>0</v>
      </c>
      <c r="X31" s="9"/>
      <c r="Y31" s="10">
        <f t="shared" si="9"/>
        <v>0</v>
      </c>
      <c r="Z31" s="9"/>
      <c r="AA31" s="10">
        <f t="shared" si="10"/>
        <v>0</v>
      </c>
      <c r="AB31" s="9"/>
      <c r="AC31" s="10">
        <f t="shared" si="11"/>
        <v>0</v>
      </c>
      <c r="AD31" s="31">
        <f t="shared" si="12"/>
        <v>635</v>
      </c>
      <c r="AE31" s="31">
        <f t="shared" si="13"/>
        <v>628.16666666666663</v>
      </c>
      <c r="AF31" s="31">
        <f t="shared" si="14"/>
        <v>30.332875454419639</v>
      </c>
      <c r="AG31" s="32">
        <f t="shared" si="23"/>
        <v>4.8287941821840763E-2</v>
      </c>
      <c r="AH31" s="31">
        <f t="shared" si="24"/>
        <v>658.49954212108628</v>
      </c>
      <c r="AI31" s="31">
        <f t="shared" si="25"/>
        <v>597.83379121224698</v>
      </c>
      <c r="AJ31" s="13">
        <f t="shared" si="15"/>
        <v>654.5</v>
      </c>
      <c r="AK31" s="13" t="str">
        <f t="shared" si="16"/>
        <v/>
      </c>
      <c r="AL31" s="13">
        <f t="shared" si="17"/>
        <v>635</v>
      </c>
      <c r="AM31" s="13" t="str">
        <f t="shared" si="18"/>
        <v/>
      </c>
      <c r="AN31" s="13" t="str">
        <f t="shared" si="19"/>
        <v/>
      </c>
      <c r="AO31" s="13" t="str">
        <f t="shared" si="20"/>
        <v/>
      </c>
      <c r="AP31" s="13" t="str">
        <f t="shared" si="21"/>
        <v/>
      </c>
      <c r="AQ31" s="13"/>
      <c r="AR31" s="13"/>
      <c r="AS31" s="29">
        <f t="shared" si="26"/>
        <v>644.75</v>
      </c>
      <c r="AT31" s="29">
        <f t="shared" si="27"/>
        <v>644.75</v>
      </c>
      <c r="AU31" s="29">
        <f t="shared" si="28"/>
        <v>13.788582233137676</v>
      </c>
      <c r="AV31" s="30">
        <f t="shared" si="29"/>
        <v>2.1385935995560566E-2</v>
      </c>
      <c r="AW31" s="31">
        <f>ROUND(AE31,0)</f>
        <v>628</v>
      </c>
      <c r="AX31" s="31">
        <f t="shared" si="22"/>
        <v>628000</v>
      </c>
      <c r="AY31" s="34" t="s">
        <v>186</v>
      </c>
    </row>
    <row r="32" spans="1:51" ht="87.75" customHeight="1" x14ac:dyDescent="0.3">
      <c r="A32" s="5">
        <v>25</v>
      </c>
      <c r="B32" s="79" t="s">
        <v>83</v>
      </c>
      <c r="C32" s="7" t="s">
        <v>234</v>
      </c>
      <c r="D32" s="5" t="s">
        <v>75</v>
      </c>
      <c r="E32" s="8">
        <v>36</v>
      </c>
      <c r="F32" s="9">
        <v>254660</v>
      </c>
      <c r="G32" s="10">
        <f t="shared" si="0"/>
        <v>9167760</v>
      </c>
      <c r="H32" s="9">
        <v>285600</v>
      </c>
      <c r="I32" s="10">
        <f t="shared" si="1"/>
        <v>10281600</v>
      </c>
      <c r="J32" s="9">
        <v>265600</v>
      </c>
      <c r="K32" s="10">
        <f t="shared" si="2"/>
        <v>9561600</v>
      </c>
      <c r="L32" s="9"/>
      <c r="M32" s="10">
        <f t="shared" si="3"/>
        <v>0</v>
      </c>
      <c r="N32" s="9"/>
      <c r="O32" s="10">
        <f t="shared" si="4"/>
        <v>0</v>
      </c>
      <c r="P32" s="9"/>
      <c r="Q32" s="10">
        <f t="shared" si="5"/>
        <v>0</v>
      </c>
      <c r="R32" s="9"/>
      <c r="S32" s="10">
        <f t="shared" si="6"/>
        <v>0</v>
      </c>
      <c r="T32" s="9"/>
      <c r="U32" s="10">
        <f t="shared" si="7"/>
        <v>0</v>
      </c>
      <c r="V32" s="9"/>
      <c r="W32" s="10">
        <f t="shared" si="8"/>
        <v>0</v>
      </c>
      <c r="X32" s="9"/>
      <c r="Y32" s="10">
        <f t="shared" si="9"/>
        <v>0</v>
      </c>
      <c r="Z32" s="9"/>
      <c r="AA32" s="10">
        <f t="shared" si="10"/>
        <v>0</v>
      </c>
      <c r="AB32" s="9"/>
      <c r="AC32" s="10">
        <f t="shared" si="11"/>
        <v>0</v>
      </c>
      <c r="AD32" s="31">
        <f t="shared" si="12"/>
        <v>265600</v>
      </c>
      <c r="AE32" s="31">
        <f t="shared" si="13"/>
        <v>268620</v>
      </c>
      <c r="AF32" s="31">
        <f t="shared" si="14"/>
        <v>15689.525168085871</v>
      </c>
      <c r="AG32" s="32">
        <f t="shared" si="23"/>
        <v>5.8407881647255869E-2</v>
      </c>
      <c r="AH32" s="31">
        <f t="shared" si="24"/>
        <v>284309.52516808588</v>
      </c>
      <c r="AI32" s="31">
        <f t="shared" si="25"/>
        <v>252930.47483191412</v>
      </c>
      <c r="AJ32" s="13">
        <f t="shared" si="15"/>
        <v>254660</v>
      </c>
      <c r="AK32" s="13" t="str">
        <f t="shared" si="16"/>
        <v/>
      </c>
      <c r="AL32" s="13">
        <f t="shared" si="17"/>
        <v>265600</v>
      </c>
      <c r="AM32" s="13" t="str">
        <f t="shared" si="18"/>
        <v/>
      </c>
      <c r="AN32" s="13" t="str">
        <f t="shared" si="19"/>
        <v/>
      </c>
      <c r="AO32" s="13" t="str">
        <f t="shared" si="20"/>
        <v/>
      </c>
      <c r="AP32" s="13" t="str">
        <f t="shared" si="21"/>
        <v/>
      </c>
      <c r="AQ32" s="13"/>
      <c r="AR32" s="13"/>
      <c r="AS32" s="29">
        <f t="shared" si="26"/>
        <v>260130</v>
      </c>
      <c r="AT32" s="29">
        <f t="shared" si="27"/>
        <v>260130</v>
      </c>
      <c r="AU32" s="29">
        <f t="shared" si="28"/>
        <v>7735.7481861808301</v>
      </c>
      <c r="AV32" s="30">
        <f t="shared" si="29"/>
        <v>2.9738008634839618E-2</v>
      </c>
      <c r="AW32" s="31">
        <f>+ROUND(+IFERROR(AVERAGEIF(AJ32:AR32,"&lt;&gt;q"),"q"),0)</f>
        <v>260130</v>
      </c>
      <c r="AX32" s="31">
        <f t="shared" si="22"/>
        <v>9364680</v>
      </c>
      <c r="AY32" s="34" t="s">
        <v>187</v>
      </c>
    </row>
    <row r="33" spans="1:51" ht="48.75" customHeight="1" x14ac:dyDescent="0.3">
      <c r="A33" s="5">
        <v>26</v>
      </c>
      <c r="B33" s="79" t="s">
        <v>84</v>
      </c>
      <c r="C33" s="7" t="s">
        <v>235</v>
      </c>
      <c r="D33" s="5" t="s">
        <v>75</v>
      </c>
      <c r="E33" s="8">
        <v>30</v>
      </c>
      <c r="F33" s="9">
        <v>65450</v>
      </c>
      <c r="G33" s="14">
        <f t="shared" si="0"/>
        <v>1963500</v>
      </c>
      <c r="H33" s="9">
        <v>85680</v>
      </c>
      <c r="I33" s="14">
        <f t="shared" si="1"/>
        <v>2570400</v>
      </c>
      <c r="J33" s="9">
        <v>92820</v>
      </c>
      <c r="K33" s="14">
        <f t="shared" si="2"/>
        <v>2784600</v>
      </c>
      <c r="L33" s="9"/>
      <c r="M33" s="14">
        <f t="shared" si="3"/>
        <v>0</v>
      </c>
      <c r="N33" s="9"/>
      <c r="O33" s="14">
        <f t="shared" si="4"/>
        <v>0</v>
      </c>
      <c r="P33" s="9"/>
      <c r="Q33" s="14">
        <f t="shared" si="5"/>
        <v>0</v>
      </c>
      <c r="R33" s="9"/>
      <c r="S33" s="14">
        <f t="shared" si="6"/>
        <v>0</v>
      </c>
      <c r="T33" s="9"/>
      <c r="U33" s="14">
        <f t="shared" si="7"/>
        <v>0</v>
      </c>
      <c r="V33" s="9"/>
      <c r="W33" s="14">
        <f t="shared" si="8"/>
        <v>0</v>
      </c>
      <c r="X33" s="9"/>
      <c r="Y33" s="14">
        <f t="shared" si="9"/>
        <v>0</v>
      </c>
      <c r="Z33" s="9"/>
      <c r="AA33" s="14">
        <f t="shared" si="10"/>
        <v>0</v>
      </c>
      <c r="AB33" s="9"/>
      <c r="AC33" s="14">
        <f t="shared" si="11"/>
        <v>0</v>
      </c>
      <c r="AD33" s="31">
        <f t="shared" si="12"/>
        <v>85680</v>
      </c>
      <c r="AE33" s="31">
        <f t="shared" si="13"/>
        <v>81316.666666666672</v>
      </c>
      <c r="AF33" s="31">
        <f t="shared" si="14"/>
        <v>14197.120600084158</v>
      </c>
      <c r="AG33" s="32">
        <f t="shared" si="23"/>
        <v>0.17459053822608103</v>
      </c>
      <c r="AH33" s="31">
        <f t="shared" si="24"/>
        <v>95513.787266750835</v>
      </c>
      <c r="AI33" s="31">
        <f t="shared" si="25"/>
        <v>67119.546066582509</v>
      </c>
      <c r="AJ33" s="13" t="str">
        <f t="shared" si="15"/>
        <v/>
      </c>
      <c r="AK33" s="13">
        <f t="shared" si="16"/>
        <v>85680</v>
      </c>
      <c r="AL33" s="13">
        <f t="shared" si="17"/>
        <v>92820</v>
      </c>
      <c r="AM33" s="13" t="str">
        <f t="shared" si="18"/>
        <v/>
      </c>
      <c r="AN33" s="13" t="str">
        <f t="shared" si="19"/>
        <v/>
      </c>
      <c r="AO33" s="13" t="str">
        <f t="shared" si="20"/>
        <v/>
      </c>
      <c r="AP33" s="13" t="str">
        <f t="shared" si="21"/>
        <v/>
      </c>
      <c r="AQ33" s="13"/>
      <c r="AR33" s="13"/>
      <c r="AS33" s="29">
        <f t="shared" si="26"/>
        <v>89250</v>
      </c>
      <c r="AT33" s="29">
        <f t="shared" si="27"/>
        <v>89250</v>
      </c>
      <c r="AU33" s="29">
        <f t="shared" si="28"/>
        <v>5048.7424176719496</v>
      </c>
      <c r="AV33" s="30">
        <f t="shared" si="29"/>
        <v>5.6568542494923803E-2</v>
      </c>
      <c r="AW33" s="31">
        <f t="shared" ref="AW33:AW35" si="37">ROUND(AE33,0)</f>
        <v>81317</v>
      </c>
      <c r="AX33" s="31">
        <f t="shared" si="22"/>
        <v>2439510</v>
      </c>
      <c r="AY33" s="34" t="s">
        <v>186</v>
      </c>
    </row>
    <row r="34" spans="1:51" ht="52.5" customHeight="1" x14ac:dyDescent="0.3">
      <c r="A34" s="5">
        <v>27</v>
      </c>
      <c r="B34" s="79" t="s">
        <v>85</v>
      </c>
      <c r="C34" s="7" t="s">
        <v>236</v>
      </c>
      <c r="D34" s="5" t="s">
        <v>62</v>
      </c>
      <c r="E34" s="8">
        <v>10</v>
      </c>
      <c r="F34" s="9">
        <v>241700</v>
      </c>
      <c r="G34" s="10">
        <f t="shared" si="0"/>
        <v>2417000</v>
      </c>
      <c r="H34" s="9">
        <v>235500</v>
      </c>
      <c r="I34" s="10">
        <f t="shared" si="1"/>
        <v>2355000</v>
      </c>
      <c r="J34" s="9">
        <v>228200</v>
      </c>
      <c r="K34" s="10">
        <f t="shared" si="2"/>
        <v>2282000</v>
      </c>
      <c r="L34" s="9"/>
      <c r="M34" s="10">
        <f t="shared" si="3"/>
        <v>0</v>
      </c>
      <c r="N34" s="9"/>
      <c r="O34" s="10">
        <f t="shared" si="4"/>
        <v>0</v>
      </c>
      <c r="P34" s="9"/>
      <c r="Q34" s="10">
        <f t="shared" si="5"/>
        <v>0</v>
      </c>
      <c r="R34" s="9"/>
      <c r="S34" s="10">
        <f t="shared" si="6"/>
        <v>0</v>
      </c>
      <c r="T34" s="9"/>
      <c r="U34" s="10">
        <f t="shared" si="7"/>
        <v>0</v>
      </c>
      <c r="V34" s="9"/>
      <c r="W34" s="10">
        <f t="shared" si="8"/>
        <v>0</v>
      </c>
      <c r="X34" s="9"/>
      <c r="Y34" s="10">
        <f t="shared" si="9"/>
        <v>0</v>
      </c>
      <c r="Z34" s="9"/>
      <c r="AA34" s="10">
        <f t="shared" si="10"/>
        <v>0</v>
      </c>
      <c r="AB34" s="9"/>
      <c r="AC34" s="10">
        <f t="shared" si="11"/>
        <v>0</v>
      </c>
      <c r="AD34" s="31">
        <f t="shared" si="12"/>
        <v>235500</v>
      </c>
      <c r="AE34" s="31">
        <f t="shared" si="13"/>
        <v>235133.33333333334</v>
      </c>
      <c r="AF34" s="31">
        <f t="shared" si="14"/>
        <v>6757.465007925186</v>
      </c>
      <c r="AG34" s="32">
        <f t="shared" si="23"/>
        <v>2.8738864507762342E-2</v>
      </c>
      <c r="AH34" s="31">
        <f t="shared" si="24"/>
        <v>241890.79834125852</v>
      </c>
      <c r="AI34" s="31">
        <f t="shared" si="25"/>
        <v>228375.86832540817</v>
      </c>
      <c r="AJ34" s="13">
        <f t="shared" si="15"/>
        <v>241700</v>
      </c>
      <c r="AK34" s="13">
        <f t="shared" si="16"/>
        <v>235500</v>
      </c>
      <c r="AL34" s="13" t="str">
        <f t="shared" si="17"/>
        <v/>
      </c>
      <c r="AM34" s="13" t="str">
        <f t="shared" si="18"/>
        <v/>
      </c>
      <c r="AN34" s="13" t="str">
        <f t="shared" si="19"/>
        <v/>
      </c>
      <c r="AO34" s="13" t="str">
        <f t="shared" si="20"/>
        <v/>
      </c>
      <c r="AP34" s="13" t="str">
        <f t="shared" si="21"/>
        <v/>
      </c>
      <c r="AQ34" s="13"/>
      <c r="AR34" s="13"/>
      <c r="AS34" s="29">
        <f t="shared" si="26"/>
        <v>238600</v>
      </c>
      <c r="AT34" s="29">
        <f t="shared" si="27"/>
        <v>238600</v>
      </c>
      <c r="AU34" s="29">
        <f t="shared" si="28"/>
        <v>4384.0620433565946</v>
      </c>
      <c r="AV34" s="30">
        <f t="shared" si="29"/>
        <v>1.8374107474252284E-2</v>
      </c>
      <c r="AW34" s="31">
        <f t="shared" si="37"/>
        <v>235133</v>
      </c>
      <c r="AX34" s="31">
        <f t="shared" si="22"/>
        <v>2351330</v>
      </c>
      <c r="AY34" s="34" t="s">
        <v>186</v>
      </c>
    </row>
    <row r="35" spans="1:51" ht="97.5" customHeight="1" x14ac:dyDescent="0.3">
      <c r="A35" s="5">
        <v>28</v>
      </c>
      <c r="B35" s="79" t="s">
        <v>86</v>
      </c>
      <c r="C35" s="7" t="s">
        <v>237</v>
      </c>
      <c r="D35" s="5" t="s">
        <v>62</v>
      </c>
      <c r="E35" s="8">
        <v>6</v>
      </c>
      <c r="F35" s="9">
        <v>2320500</v>
      </c>
      <c r="G35" s="10">
        <f t="shared" si="0"/>
        <v>13923000</v>
      </c>
      <c r="H35" s="9">
        <v>2261000</v>
      </c>
      <c r="I35" s="10">
        <f t="shared" si="1"/>
        <v>13566000</v>
      </c>
      <c r="J35" s="9">
        <v>1713600</v>
      </c>
      <c r="K35" s="10">
        <f t="shared" si="2"/>
        <v>10281600</v>
      </c>
      <c r="L35" s="9"/>
      <c r="M35" s="10">
        <f t="shared" si="3"/>
        <v>0</v>
      </c>
      <c r="N35" s="9"/>
      <c r="O35" s="10">
        <f t="shared" si="4"/>
        <v>0</v>
      </c>
      <c r="P35" s="9"/>
      <c r="Q35" s="10">
        <f t="shared" si="5"/>
        <v>0</v>
      </c>
      <c r="R35" s="9"/>
      <c r="S35" s="10">
        <f t="shared" si="6"/>
        <v>0</v>
      </c>
      <c r="T35" s="9"/>
      <c r="U35" s="10">
        <f t="shared" si="7"/>
        <v>0</v>
      </c>
      <c r="V35" s="9"/>
      <c r="W35" s="10">
        <f t="shared" si="8"/>
        <v>0</v>
      </c>
      <c r="X35" s="9"/>
      <c r="Y35" s="10">
        <f t="shared" si="9"/>
        <v>0</v>
      </c>
      <c r="Z35" s="9"/>
      <c r="AA35" s="10">
        <f t="shared" si="10"/>
        <v>0</v>
      </c>
      <c r="AB35" s="9"/>
      <c r="AC35" s="10">
        <f t="shared" si="11"/>
        <v>0</v>
      </c>
      <c r="AD35" s="31">
        <f t="shared" si="12"/>
        <v>2261000</v>
      </c>
      <c r="AE35" s="31">
        <f t="shared" si="13"/>
        <v>2098366.6666666665</v>
      </c>
      <c r="AF35" s="31">
        <f t="shared" si="14"/>
        <v>334543.12626824813</v>
      </c>
      <c r="AG35" s="32">
        <f t="shared" si="23"/>
        <v>0.15943025191096957</v>
      </c>
      <c r="AH35" s="31">
        <f t="shared" si="24"/>
        <v>2432909.7929349146</v>
      </c>
      <c r="AI35" s="31">
        <f t="shared" si="25"/>
        <v>1763823.5403984184</v>
      </c>
      <c r="AJ35" s="13">
        <f t="shared" si="15"/>
        <v>2320500</v>
      </c>
      <c r="AK35" s="13">
        <f t="shared" si="16"/>
        <v>2261000</v>
      </c>
      <c r="AL35" s="13" t="str">
        <f t="shared" si="17"/>
        <v/>
      </c>
      <c r="AM35" s="13" t="str">
        <f t="shared" si="18"/>
        <v/>
      </c>
      <c r="AN35" s="13" t="str">
        <f t="shared" si="19"/>
        <v/>
      </c>
      <c r="AO35" s="13" t="str">
        <f t="shared" si="20"/>
        <v/>
      </c>
      <c r="AP35" s="13" t="str">
        <f t="shared" si="21"/>
        <v/>
      </c>
      <c r="AQ35" s="13"/>
      <c r="AR35" s="13"/>
      <c r="AS35" s="29">
        <f t="shared" si="26"/>
        <v>2290750</v>
      </c>
      <c r="AT35" s="29">
        <f t="shared" si="27"/>
        <v>2290750</v>
      </c>
      <c r="AU35" s="29">
        <f t="shared" si="28"/>
        <v>42072.853480599581</v>
      </c>
      <c r="AV35" s="30">
        <f t="shared" si="29"/>
        <v>1.8366409900949288E-2</v>
      </c>
      <c r="AW35" s="31">
        <f t="shared" si="37"/>
        <v>2098367</v>
      </c>
      <c r="AX35" s="31">
        <f t="shared" si="22"/>
        <v>12590202</v>
      </c>
      <c r="AY35" s="34" t="s">
        <v>186</v>
      </c>
    </row>
    <row r="36" spans="1:51" ht="99" customHeight="1" x14ac:dyDescent="0.3">
      <c r="A36" s="5">
        <v>29</v>
      </c>
      <c r="B36" s="6" t="s">
        <v>87</v>
      </c>
      <c r="C36" s="7" t="s">
        <v>88</v>
      </c>
      <c r="D36" s="5" t="s">
        <v>89</v>
      </c>
      <c r="E36" s="8">
        <v>2</v>
      </c>
      <c r="F36" s="9">
        <v>2142000</v>
      </c>
      <c r="G36" s="10">
        <f t="shared" si="0"/>
        <v>4284000</v>
      </c>
      <c r="H36" s="9">
        <v>1904000</v>
      </c>
      <c r="I36" s="10">
        <f t="shared" si="1"/>
        <v>3808000</v>
      </c>
      <c r="J36" s="9">
        <v>2013600</v>
      </c>
      <c r="K36" s="10">
        <f t="shared" si="2"/>
        <v>4027200</v>
      </c>
      <c r="L36" s="9"/>
      <c r="M36" s="10">
        <f t="shared" si="3"/>
        <v>0</v>
      </c>
      <c r="N36" s="9"/>
      <c r="O36" s="10">
        <f t="shared" si="4"/>
        <v>0</v>
      </c>
      <c r="P36" s="9"/>
      <c r="Q36" s="10">
        <f t="shared" si="5"/>
        <v>0</v>
      </c>
      <c r="R36" s="9"/>
      <c r="S36" s="10">
        <f t="shared" si="6"/>
        <v>0</v>
      </c>
      <c r="T36" s="9"/>
      <c r="U36" s="10">
        <f t="shared" si="7"/>
        <v>0</v>
      </c>
      <c r="V36" s="9"/>
      <c r="W36" s="10">
        <f t="shared" si="8"/>
        <v>0</v>
      </c>
      <c r="X36" s="9"/>
      <c r="Y36" s="10">
        <f t="shared" si="9"/>
        <v>0</v>
      </c>
      <c r="Z36" s="9"/>
      <c r="AA36" s="10">
        <f t="shared" si="10"/>
        <v>0</v>
      </c>
      <c r="AB36" s="9"/>
      <c r="AC36" s="10">
        <f t="shared" si="11"/>
        <v>0</v>
      </c>
      <c r="AD36" s="31">
        <f t="shared" si="12"/>
        <v>2013600</v>
      </c>
      <c r="AE36" s="31">
        <f t="shared" si="13"/>
        <v>2019866.6666666667</v>
      </c>
      <c r="AF36" s="31">
        <f t="shared" si="14"/>
        <v>119123.68921979092</v>
      </c>
      <c r="AG36" s="32">
        <f t="shared" si="23"/>
        <v>5.8976016182482792E-2</v>
      </c>
      <c r="AH36" s="31">
        <f t="shared" si="24"/>
        <v>2138990.3558864575</v>
      </c>
      <c r="AI36" s="31">
        <f t="shared" si="25"/>
        <v>1900742.9774468758</v>
      </c>
      <c r="AJ36" s="13" t="str">
        <f t="shared" si="15"/>
        <v/>
      </c>
      <c r="AK36" s="13">
        <f t="shared" si="16"/>
        <v>1904000</v>
      </c>
      <c r="AL36" s="13">
        <f t="shared" si="17"/>
        <v>2013600</v>
      </c>
      <c r="AM36" s="13" t="str">
        <f t="shared" si="18"/>
        <v/>
      </c>
      <c r="AN36" s="13" t="str">
        <f t="shared" si="19"/>
        <v/>
      </c>
      <c r="AO36" s="13" t="str">
        <f t="shared" si="20"/>
        <v/>
      </c>
      <c r="AP36" s="13" t="str">
        <f t="shared" si="21"/>
        <v/>
      </c>
      <c r="AQ36" s="13"/>
      <c r="AR36" s="13"/>
      <c r="AS36" s="29">
        <f t="shared" si="26"/>
        <v>1958800</v>
      </c>
      <c r="AT36" s="29">
        <f t="shared" si="27"/>
        <v>1958800</v>
      </c>
      <c r="AU36" s="29">
        <f t="shared" si="28"/>
        <v>77498.903218045612</v>
      </c>
      <c r="AV36" s="30">
        <f t="shared" si="29"/>
        <v>3.9564479894856855E-2</v>
      </c>
      <c r="AW36" s="31">
        <f t="shared" ref="AW36:AW41" si="38">+ROUND(+IFERROR(AVERAGEIF(AJ36:AR36,"&lt;&gt;q"),"q"),0)</f>
        <v>1958800</v>
      </c>
      <c r="AX36" s="31">
        <f t="shared" si="22"/>
        <v>3917600</v>
      </c>
      <c r="AY36" s="34" t="s">
        <v>187</v>
      </c>
    </row>
    <row r="37" spans="1:51" ht="93" customHeight="1" x14ac:dyDescent="0.3">
      <c r="A37" s="5">
        <v>30</v>
      </c>
      <c r="B37" s="6" t="s">
        <v>215</v>
      </c>
      <c r="C37" s="7" t="s">
        <v>220</v>
      </c>
      <c r="D37" s="5" t="s">
        <v>89</v>
      </c>
      <c r="E37" s="44">
        <v>4</v>
      </c>
      <c r="F37" s="9">
        <v>2975000</v>
      </c>
      <c r="G37" s="14">
        <f t="shared" si="0"/>
        <v>11900000</v>
      </c>
      <c r="H37" s="9">
        <v>3213000</v>
      </c>
      <c r="I37" s="14">
        <f t="shared" si="1"/>
        <v>12852000</v>
      </c>
      <c r="J37" s="9">
        <v>2856600</v>
      </c>
      <c r="K37" s="14">
        <f t="shared" si="2"/>
        <v>11426400</v>
      </c>
      <c r="L37" s="9"/>
      <c r="M37" s="14">
        <f t="shared" si="3"/>
        <v>0</v>
      </c>
      <c r="N37" s="9"/>
      <c r="O37" s="14">
        <f t="shared" si="4"/>
        <v>0</v>
      </c>
      <c r="P37" s="9"/>
      <c r="Q37" s="14">
        <f t="shared" si="5"/>
        <v>0</v>
      </c>
      <c r="R37" s="9"/>
      <c r="S37" s="14">
        <f t="shared" si="6"/>
        <v>0</v>
      </c>
      <c r="T37" s="9"/>
      <c r="U37" s="14">
        <f t="shared" si="7"/>
        <v>0</v>
      </c>
      <c r="V37" s="9"/>
      <c r="W37" s="14">
        <f t="shared" si="8"/>
        <v>0</v>
      </c>
      <c r="X37" s="9"/>
      <c r="Y37" s="14">
        <f t="shared" si="9"/>
        <v>0</v>
      </c>
      <c r="Z37" s="9"/>
      <c r="AA37" s="14">
        <f t="shared" si="10"/>
        <v>0</v>
      </c>
      <c r="AB37" s="9"/>
      <c r="AC37" s="14">
        <f t="shared" si="11"/>
        <v>0</v>
      </c>
      <c r="AD37" s="31">
        <f t="shared" si="12"/>
        <v>2975000</v>
      </c>
      <c r="AE37" s="31">
        <f t="shared" si="13"/>
        <v>3014866.6666666665</v>
      </c>
      <c r="AF37" s="31">
        <f t="shared" si="14"/>
        <v>181513.78276410123</v>
      </c>
      <c r="AG37" s="32">
        <f t="shared" si="23"/>
        <v>6.0206238893074727E-2</v>
      </c>
      <c r="AH37" s="31">
        <f t="shared" si="24"/>
        <v>3196380.4494307679</v>
      </c>
      <c r="AI37" s="31">
        <f t="shared" si="25"/>
        <v>2833352.8839025651</v>
      </c>
      <c r="AJ37" s="13">
        <f t="shared" si="15"/>
        <v>2975000</v>
      </c>
      <c r="AK37" s="13" t="str">
        <f t="shared" si="16"/>
        <v/>
      </c>
      <c r="AL37" s="13">
        <f t="shared" si="17"/>
        <v>2856600</v>
      </c>
      <c r="AM37" s="13" t="str">
        <f t="shared" si="18"/>
        <v/>
      </c>
      <c r="AN37" s="13" t="str">
        <f t="shared" si="19"/>
        <v/>
      </c>
      <c r="AO37" s="13" t="str">
        <f t="shared" si="20"/>
        <v/>
      </c>
      <c r="AP37" s="13" t="str">
        <f t="shared" si="21"/>
        <v/>
      </c>
      <c r="AQ37" s="13"/>
      <c r="AR37" s="13"/>
      <c r="AS37" s="29">
        <f t="shared" si="26"/>
        <v>2915800</v>
      </c>
      <c r="AT37" s="29">
        <f t="shared" si="27"/>
        <v>2915800</v>
      </c>
      <c r="AU37" s="29">
        <f t="shared" si="28"/>
        <v>83721.442892487234</v>
      </c>
      <c r="AV37" s="30">
        <f t="shared" si="29"/>
        <v>2.8713026576749859E-2</v>
      </c>
      <c r="AW37" s="31">
        <f t="shared" si="38"/>
        <v>2915800</v>
      </c>
      <c r="AX37" s="31">
        <f t="shared" si="22"/>
        <v>11663200</v>
      </c>
      <c r="AY37" s="34" t="s">
        <v>187</v>
      </c>
    </row>
    <row r="38" spans="1:51" ht="81.75" customHeight="1" x14ac:dyDescent="0.3">
      <c r="A38" s="5">
        <v>31</v>
      </c>
      <c r="B38" s="6" t="s">
        <v>90</v>
      </c>
      <c r="C38" s="7" t="s">
        <v>194</v>
      </c>
      <c r="D38" s="5" t="s">
        <v>43</v>
      </c>
      <c r="E38" s="8">
        <v>150</v>
      </c>
      <c r="F38" s="9">
        <v>1171</v>
      </c>
      <c r="G38" s="14">
        <f t="shared" si="0"/>
        <v>175650</v>
      </c>
      <c r="H38" s="9">
        <v>1309</v>
      </c>
      <c r="I38" s="14">
        <f t="shared" si="1"/>
        <v>196350</v>
      </c>
      <c r="J38" s="9">
        <v>1213.5999999999999</v>
      </c>
      <c r="K38" s="14">
        <f t="shared" si="2"/>
        <v>182040</v>
      </c>
      <c r="L38" s="9"/>
      <c r="M38" s="14">
        <f t="shared" si="3"/>
        <v>0</v>
      </c>
      <c r="N38" s="9"/>
      <c r="O38" s="14">
        <f t="shared" si="4"/>
        <v>0</v>
      </c>
      <c r="P38" s="9"/>
      <c r="Q38" s="14">
        <f t="shared" si="5"/>
        <v>0</v>
      </c>
      <c r="R38" s="9"/>
      <c r="S38" s="14">
        <f t="shared" si="6"/>
        <v>0</v>
      </c>
      <c r="T38" s="9"/>
      <c r="U38" s="14">
        <f t="shared" si="7"/>
        <v>0</v>
      </c>
      <c r="V38" s="9"/>
      <c r="W38" s="14">
        <f t="shared" si="8"/>
        <v>0</v>
      </c>
      <c r="X38" s="9"/>
      <c r="Y38" s="14">
        <f t="shared" si="9"/>
        <v>0</v>
      </c>
      <c r="Z38" s="9"/>
      <c r="AA38" s="14">
        <f t="shared" si="10"/>
        <v>0</v>
      </c>
      <c r="AB38" s="9"/>
      <c r="AC38" s="14">
        <f t="shared" si="11"/>
        <v>0</v>
      </c>
      <c r="AD38" s="31">
        <f t="shared" si="12"/>
        <v>1213.5999999999999</v>
      </c>
      <c r="AE38" s="31">
        <f t="shared" si="13"/>
        <v>1231.2</v>
      </c>
      <c r="AF38" s="31">
        <f t="shared" si="14"/>
        <v>70.663427598723246</v>
      </c>
      <c r="AG38" s="32">
        <f t="shared" si="23"/>
        <v>5.7393947042497763E-2</v>
      </c>
      <c r="AH38" s="31">
        <f t="shared" si="24"/>
        <v>1301.8634275987233</v>
      </c>
      <c r="AI38" s="31">
        <f t="shared" si="25"/>
        <v>1160.5365724012768</v>
      </c>
      <c r="AJ38" s="13">
        <f t="shared" si="15"/>
        <v>1171</v>
      </c>
      <c r="AK38" s="13" t="str">
        <f t="shared" si="16"/>
        <v/>
      </c>
      <c r="AL38" s="13">
        <f t="shared" si="17"/>
        <v>1213.5999999999999</v>
      </c>
      <c r="AM38" s="13" t="str">
        <f t="shared" si="18"/>
        <v/>
      </c>
      <c r="AN38" s="13" t="str">
        <f t="shared" si="19"/>
        <v/>
      </c>
      <c r="AO38" s="13" t="str">
        <f t="shared" si="20"/>
        <v/>
      </c>
      <c r="AP38" s="13" t="str">
        <f t="shared" si="21"/>
        <v/>
      </c>
      <c r="AQ38" s="13"/>
      <c r="AR38" s="13"/>
      <c r="AS38" s="29">
        <f t="shared" si="26"/>
        <v>1192.3</v>
      </c>
      <c r="AT38" s="29">
        <f t="shared" si="27"/>
        <v>1192.3</v>
      </c>
      <c r="AU38" s="29">
        <f t="shared" si="28"/>
        <v>30.122748878546862</v>
      </c>
      <c r="AV38" s="30">
        <f t="shared" si="29"/>
        <v>2.5264403991065054E-2</v>
      </c>
      <c r="AW38" s="31">
        <f t="shared" si="38"/>
        <v>1192</v>
      </c>
      <c r="AX38" s="31">
        <f t="shared" si="22"/>
        <v>178800</v>
      </c>
      <c r="AY38" s="34" t="s">
        <v>187</v>
      </c>
    </row>
    <row r="39" spans="1:51" ht="48.75" customHeight="1" x14ac:dyDescent="0.3">
      <c r="A39" s="5">
        <v>32</v>
      </c>
      <c r="B39" s="6" t="s">
        <v>196</v>
      </c>
      <c r="C39" s="7" t="s">
        <v>195</v>
      </c>
      <c r="D39" s="5" t="s">
        <v>43</v>
      </c>
      <c r="E39" s="8">
        <v>120</v>
      </c>
      <c r="F39" s="9">
        <v>535.5</v>
      </c>
      <c r="G39" s="10">
        <f t="shared" si="0"/>
        <v>64260</v>
      </c>
      <c r="H39" s="9">
        <v>357</v>
      </c>
      <c r="I39" s="10">
        <f t="shared" si="1"/>
        <v>42840</v>
      </c>
      <c r="J39" s="9">
        <v>436</v>
      </c>
      <c r="K39" s="10">
        <f t="shared" si="2"/>
        <v>52320</v>
      </c>
      <c r="L39" s="9"/>
      <c r="M39" s="10">
        <f t="shared" si="3"/>
        <v>0</v>
      </c>
      <c r="N39" s="9"/>
      <c r="O39" s="10">
        <f t="shared" si="4"/>
        <v>0</v>
      </c>
      <c r="P39" s="9"/>
      <c r="Q39" s="10">
        <f t="shared" si="5"/>
        <v>0</v>
      </c>
      <c r="R39" s="9"/>
      <c r="S39" s="10">
        <f t="shared" si="6"/>
        <v>0</v>
      </c>
      <c r="T39" s="9"/>
      <c r="U39" s="10">
        <f t="shared" si="7"/>
        <v>0</v>
      </c>
      <c r="V39" s="9"/>
      <c r="W39" s="10">
        <f t="shared" si="8"/>
        <v>0</v>
      </c>
      <c r="X39" s="9"/>
      <c r="Y39" s="10">
        <f t="shared" si="9"/>
        <v>0</v>
      </c>
      <c r="Z39" s="9"/>
      <c r="AA39" s="10">
        <f t="shared" si="10"/>
        <v>0</v>
      </c>
      <c r="AB39" s="9"/>
      <c r="AC39" s="10">
        <f t="shared" si="11"/>
        <v>0</v>
      </c>
      <c r="AD39" s="31">
        <f t="shared" si="12"/>
        <v>436</v>
      </c>
      <c r="AE39" s="31">
        <f t="shared" si="13"/>
        <v>442.83333333333331</v>
      </c>
      <c r="AF39" s="31">
        <f t="shared" si="14"/>
        <v>89.445979973016748</v>
      </c>
      <c r="AG39" s="32">
        <f t="shared" si="23"/>
        <v>0.20198565293116316</v>
      </c>
      <c r="AH39" s="31">
        <f t="shared" si="24"/>
        <v>532.2793133063501</v>
      </c>
      <c r="AI39" s="31">
        <f t="shared" si="25"/>
        <v>353.38735336031658</v>
      </c>
      <c r="AJ39" s="13" t="str">
        <f t="shared" si="15"/>
        <v/>
      </c>
      <c r="AK39" s="13">
        <f t="shared" si="16"/>
        <v>357</v>
      </c>
      <c r="AL39" s="13">
        <f t="shared" si="17"/>
        <v>436</v>
      </c>
      <c r="AM39" s="13" t="str">
        <f t="shared" si="18"/>
        <v/>
      </c>
      <c r="AN39" s="13" t="str">
        <f t="shared" si="19"/>
        <v/>
      </c>
      <c r="AO39" s="13" t="str">
        <f t="shared" si="20"/>
        <v/>
      </c>
      <c r="AP39" s="13" t="str">
        <f t="shared" si="21"/>
        <v/>
      </c>
      <c r="AQ39" s="13"/>
      <c r="AR39" s="13"/>
      <c r="AS39" s="29">
        <f t="shared" si="26"/>
        <v>396.5</v>
      </c>
      <c r="AT39" s="29">
        <f t="shared" si="27"/>
        <v>396.5</v>
      </c>
      <c r="AU39" s="29">
        <f t="shared" si="28"/>
        <v>55.861435713737258</v>
      </c>
      <c r="AV39" s="30">
        <f t="shared" si="29"/>
        <v>0.14088634480135501</v>
      </c>
      <c r="AW39" s="31">
        <f t="shared" si="38"/>
        <v>397</v>
      </c>
      <c r="AX39" s="31">
        <f t="shared" si="22"/>
        <v>47640</v>
      </c>
      <c r="AY39" s="34" t="s">
        <v>187</v>
      </c>
    </row>
    <row r="40" spans="1:51" ht="148.19999999999999" customHeight="1" x14ac:dyDescent="0.3">
      <c r="A40" s="5">
        <v>33</v>
      </c>
      <c r="B40" s="6" t="s">
        <v>91</v>
      </c>
      <c r="C40" s="7" t="s">
        <v>92</v>
      </c>
      <c r="D40" s="5" t="s">
        <v>62</v>
      </c>
      <c r="E40" s="8">
        <v>1</v>
      </c>
      <c r="F40" s="9">
        <v>4308000</v>
      </c>
      <c r="G40" s="10">
        <f t="shared" ref="G40:G72" si="39">+$E40*F40</f>
        <v>4308000</v>
      </c>
      <c r="H40" s="9">
        <v>4760000</v>
      </c>
      <c r="I40" s="10">
        <f t="shared" ref="I40:I72" si="40">+$E40*H40</f>
        <v>4760000</v>
      </c>
      <c r="J40" s="9">
        <v>4280800</v>
      </c>
      <c r="K40" s="10">
        <f t="shared" ref="K40:K72" si="41">+$E40*J40</f>
        <v>4280800</v>
      </c>
      <c r="L40" s="9"/>
      <c r="M40" s="10">
        <f t="shared" ref="M40:M72" si="42">+$E40*L40</f>
        <v>0</v>
      </c>
      <c r="N40" s="9"/>
      <c r="O40" s="10">
        <f t="shared" si="4"/>
        <v>0</v>
      </c>
      <c r="P40" s="9"/>
      <c r="Q40" s="10">
        <f t="shared" si="5"/>
        <v>0</v>
      </c>
      <c r="R40" s="9"/>
      <c r="S40" s="10">
        <f t="shared" si="6"/>
        <v>0</v>
      </c>
      <c r="T40" s="9"/>
      <c r="U40" s="10">
        <f t="shared" si="7"/>
        <v>0</v>
      </c>
      <c r="V40" s="9"/>
      <c r="W40" s="10">
        <f t="shared" si="8"/>
        <v>0</v>
      </c>
      <c r="X40" s="9"/>
      <c r="Y40" s="10">
        <f t="shared" si="9"/>
        <v>0</v>
      </c>
      <c r="Z40" s="9"/>
      <c r="AA40" s="10">
        <f t="shared" si="10"/>
        <v>0</v>
      </c>
      <c r="AB40" s="9"/>
      <c r="AC40" s="10">
        <f t="shared" si="11"/>
        <v>0</v>
      </c>
      <c r="AD40" s="31">
        <f t="shared" ref="AD40:AD72" si="43">IFERROR(MEDIAN($F40,$H40,$J40,$L40,$N40,$P40,$R40,$T40,$V40,$X40,$Z40,$AB40),"")</f>
        <v>4308000</v>
      </c>
      <c r="AE40" s="31">
        <f t="shared" ref="AE40:AE72" si="44">IFERROR(AVERAGE($F40,$H40,$J40,$L40,$N40,$P40,$R40,$T40,$V40,$X40,$Z40,$AB40),"")</f>
        <v>4449600</v>
      </c>
      <c r="AF40" s="31">
        <f t="shared" ref="AF40:AF72" si="45">IFERROR(STDEV($F40,$H40,$J40,$L40,$N40,$P40,$R40,$T40,$V40,$X40,$Z40,$AB40),"")</f>
        <v>269158.09480675106</v>
      </c>
      <c r="AG40" s="32">
        <f t="shared" si="23"/>
        <v>6.0490402464659983E-2</v>
      </c>
      <c r="AH40" s="31">
        <f t="shared" si="24"/>
        <v>4718758.0948067512</v>
      </c>
      <c r="AI40" s="31">
        <f t="shared" si="25"/>
        <v>4180441.9051932488</v>
      </c>
      <c r="AJ40" s="13">
        <f t="shared" ref="AJ40:AJ72" si="46">IF(AND(F40&lt;=$AH40,F40&gt;=$AI40),F40,"")</f>
        <v>4308000</v>
      </c>
      <c r="AK40" s="13" t="str">
        <f t="shared" ref="AK40:AK72" si="47">IF(AND(H40&lt;=$AH40,H40&gt;=$AI40),H40,"")</f>
        <v/>
      </c>
      <c r="AL40" s="13">
        <f t="shared" ref="AL40:AL72" si="48">IF(AND(J40&lt;=$AH40,J40&gt;=$AI40),J40,"")</f>
        <v>4280800</v>
      </c>
      <c r="AM40" s="13" t="str">
        <f t="shared" ref="AM40:AM72" si="49">IF(AND(L40&lt;=$AH40,L40&gt;=$AI40),L40,"")</f>
        <v/>
      </c>
      <c r="AN40" s="13" t="str">
        <f t="shared" ref="AN40:AN72" si="50">IF(AND(N40&lt;=$AH40,N40&gt;=$AI40),N40,"")</f>
        <v/>
      </c>
      <c r="AO40" s="13" t="str">
        <f t="shared" ref="AO40:AO72" si="51">IF(AND(P40&lt;=$AH40,P40&gt;=$AI40),P40,"")</f>
        <v/>
      </c>
      <c r="AP40" s="13" t="str">
        <f t="shared" ref="AP40:AP72" si="52">IF(AND(R40&lt;=$AH40,R40&gt;=$AI40),R40,"")</f>
        <v/>
      </c>
      <c r="AQ40" s="13"/>
      <c r="AR40" s="13"/>
      <c r="AS40" s="29">
        <f t="shared" si="26"/>
        <v>4294400</v>
      </c>
      <c r="AT40" s="29">
        <f t="shared" si="27"/>
        <v>4294400</v>
      </c>
      <c r="AU40" s="29">
        <f t="shared" si="28"/>
        <v>19233.304448274092</v>
      </c>
      <c r="AV40" s="30">
        <f t="shared" si="29"/>
        <v>4.4786942176495183E-3</v>
      </c>
      <c r="AW40" s="31">
        <f t="shared" si="38"/>
        <v>4294400</v>
      </c>
      <c r="AX40" s="31">
        <f t="shared" ref="AX40:AX72" si="53">AW40*E40</f>
        <v>4294400</v>
      </c>
      <c r="AY40" s="34" t="s">
        <v>187</v>
      </c>
    </row>
    <row r="41" spans="1:51" ht="223.8" customHeight="1" x14ac:dyDescent="0.3">
      <c r="A41" s="5">
        <v>34</v>
      </c>
      <c r="B41" s="35" t="s">
        <v>221</v>
      </c>
      <c r="C41" s="7" t="s">
        <v>222</v>
      </c>
      <c r="D41" s="5" t="s">
        <v>62</v>
      </c>
      <c r="E41" s="8">
        <v>2</v>
      </c>
      <c r="F41" s="9">
        <v>4308000</v>
      </c>
      <c r="G41" s="15">
        <f t="shared" si="39"/>
        <v>8616000</v>
      </c>
      <c r="H41" s="9">
        <v>4760000</v>
      </c>
      <c r="I41" s="10">
        <f t="shared" si="40"/>
        <v>9520000</v>
      </c>
      <c r="J41" s="9">
        <v>4280800</v>
      </c>
      <c r="K41" s="10">
        <f t="shared" si="41"/>
        <v>8561600</v>
      </c>
      <c r="L41" s="16"/>
      <c r="M41" s="15">
        <f t="shared" si="42"/>
        <v>0</v>
      </c>
      <c r="N41" s="16"/>
      <c r="O41" s="15">
        <f t="shared" si="4"/>
        <v>0</v>
      </c>
      <c r="P41" s="16"/>
      <c r="Q41" s="15">
        <f t="shared" si="5"/>
        <v>0</v>
      </c>
      <c r="R41" s="16"/>
      <c r="S41" s="15">
        <f t="shared" si="6"/>
        <v>0</v>
      </c>
      <c r="T41" s="16"/>
      <c r="U41" s="15">
        <f t="shared" si="7"/>
        <v>0</v>
      </c>
      <c r="V41" s="16"/>
      <c r="W41" s="15">
        <f t="shared" si="8"/>
        <v>0</v>
      </c>
      <c r="X41" s="16"/>
      <c r="Y41" s="15">
        <f t="shared" si="9"/>
        <v>0</v>
      </c>
      <c r="Z41" s="16"/>
      <c r="AA41" s="15">
        <f t="shared" si="10"/>
        <v>0</v>
      </c>
      <c r="AB41" s="16"/>
      <c r="AC41" s="15">
        <f t="shared" si="11"/>
        <v>0</v>
      </c>
      <c r="AD41" s="31">
        <f t="shared" si="43"/>
        <v>4308000</v>
      </c>
      <c r="AE41" s="31">
        <f t="shared" si="44"/>
        <v>4449600</v>
      </c>
      <c r="AF41" s="31">
        <f t="shared" si="45"/>
        <v>269158.09480675106</v>
      </c>
      <c r="AG41" s="32">
        <f t="shared" si="23"/>
        <v>6.0490402464659983E-2</v>
      </c>
      <c r="AH41" s="31">
        <f t="shared" si="24"/>
        <v>4718758.0948067512</v>
      </c>
      <c r="AI41" s="31">
        <f t="shared" si="25"/>
        <v>4180441.9051932488</v>
      </c>
      <c r="AJ41" s="13">
        <f t="shared" si="46"/>
        <v>4308000</v>
      </c>
      <c r="AK41" s="13" t="str">
        <f t="shared" si="47"/>
        <v/>
      </c>
      <c r="AL41" s="13">
        <f t="shared" si="48"/>
        <v>4280800</v>
      </c>
      <c r="AM41" s="13" t="str">
        <f t="shared" si="49"/>
        <v/>
      </c>
      <c r="AN41" s="13" t="str">
        <f t="shared" si="50"/>
        <v/>
      </c>
      <c r="AO41" s="13" t="str">
        <f t="shared" si="51"/>
        <v/>
      </c>
      <c r="AP41" s="13" t="str">
        <f t="shared" si="52"/>
        <v/>
      </c>
      <c r="AQ41" s="13"/>
      <c r="AR41" s="13"/>
      <c r="AS41" s="29">
        <f t="shared" si="26"/>
        <v>4294400</v>
      </c>
      <c r="AT41" s="29">
        <f t="shared" si="27"/>
        <v>4294400</v>
      </c>
      <c r="AU41" s="29">
        <f t="shared" si="28"/>
        <v>19233.304448274092</v>
      </c>
      <c r="AV41" s="30">
        <f t="shared" si="29"/>
        <v>4.4786942176495183E-3</v>
      </c>
      <c r="AW41" s="31">
        <f t="shared" si="38"/>
        <v>4294400</v>
      </c>
      <c r="AX41" s="31">
        <f t="shared" si="53"/>
        <v>8588800</v>
      </c>
      <c r="AY41" s="34" t="s">
        <v>187</v>
      </c>
    </row>
    <row r="42" spans="1:51" ht="148.19999999999999" customHeight="1" x14ac:dyDescent="0.3">
      <c r="A42" s="5">
        <v>35</v>
      </c>
      <c r="B42" s="35" t="s">
        <v>93</v>
      </c>
      <c r="C42" s="7" t="s">
        <v>94</v>
      </c>
      <c r="D42" s="5" t="s">
        <v>62</v>
      </c>
      <c r="E42" s="8">
        <v>2</v>
      </c>
      <c r="F42" s="36"/>
      <c r="G42" s="10">
        <f t="shared" si="39"/>
        <v>0</v>
      </c>
      <c r="H42" s="9"/>
      <c r="I42" s="10">
        <f t="shared" si="40"/>
        <v>0</v>
      </c>
      <c r="J42" s="9"/>
      <c r="K42" s="10">
        <f t="shared" si="41"/>
        <v>0</v>
      </c>
      <c r="L42" s="9">
        <v>175740</v>
      </c>
      <c r="M42" s="10">
        <f t="shared" si="42"/>
        <v>351480</v>
      </c>
      <c r="N42" s="9"/>
      <c r="O42" s="10">
        <f t="shared" si="4"/>
        <v>0</v>
      </c>
      <c r="P42" s="16"/>
      <c r="Q42" s="15">
        <f t="shared" si="5"/>
        <v>0</v>
      </c>
      <c r="R42" s="16"/>
      <c r="S42" s="15">
        <f t="shared" si="6"/>
        <v>0</v>
      </c>
      <c r="T42" s="16"/>
      <c r="U42" s="15">
        <f t="shared" si="7"/>
        <v>0</v>
      </c>
      <c r="V42" s="16"/>
      <c r="W42" s="15">
        <f t="shared" si="8"/>
        <v>0</v>
      </c>
      <c r="X42" s="16"/>
      <c r="Y42" s="15">
        <f t="shared" si="9"/>
        <v>0</v>
      </c>
      <c r="Z42" s="16"/>
      <c r="AA42" s="15">
        <f t="shared" si="10"/>
        <v>0</v>
      </c>
      <c r="AB42" s="16"/>
      <c r="AC42" s="15">
        <f t="shared" si="11"/>
        <v>0</v>
      </c>
      <c r="AD42" s="31">
        <f t="shared" si="43"/>
        <v>175740</v>
      </c>
      <c r="AE42" s="31">
        <f t="shared" si="44"/>
        <v>175740</v>
      </c>
      <c r="AF42" s="31" t="str">
        <f t="shared" si="45"/>
        <v/>
      </c>
      <c r="AG42" s="32" t="str">
        <f t="shared" si="23"/>
        <v/>
      </c>
      <c r="AH42" s="31" t="str">
        <f t="shared" si="24"/>
        <v/>
      </c>
      <c r="AI42" s="31" t="str">
        <f t="shared" si="25"/>
        <v/>
      </c>
      <c r="AJ42" s="13">
        <f t="shared" si="46"/>
        <v>0</v>
      </c>
      <c r="AK42" s="13">
        <f t="shared" si="47"/>
        <v>0</v>
      </c>
      <c r="AL42" s="13">
        <f t="shared" si="48"/>
        <v>0</v>
      </c>
      <c r="AM42" s="13" t="str">
        <f t="shared" si="49"/>
        <v/>
      </c>
      <c r="AN42" s="13">
        <f t="shared" si="50"/>
        <v>0</v>
      </c>
      <c r="AO42" s="13">
        <f t="shared" si="51"/>
        <v>0</v>
      </c>
      <c r="AP42" s="13">
        <f t="shared" si="52"/>
        <v>0</v>
      </c>
      <c r="AQ42" s="13"/>
      <c r="AR42" s="13"/>
      <c r="AS42" s="29">
        <f t="shared" si="26"/>
        <v>0</v>
      </c>
      <c r="AT42" s="29">
        <f t="shared" si="27"/>
        <v>0</v>
      </c>
      <c r="AU42" s="29">
        <f t="shared" si="28"/>
        <v>0</v>
      </c>
      <c r="AV42" s="30" t="str">
        <f t="shared" si="29"/>
        <v/>
      </c>
      <c r="AW42" s="31">
        <f>ROUND(AE42,0)</f>
        <v>175740</v>
      </c>
      <c r="AX42" s="31">
        <f t="shared" si="53"/>
        <v>351480</v>
      </c>
      <c r="AY42" s="33" t="s">
        <v>185</v>
      </c>
    </row>
    <row r="43" spans="1:51" ht="81.75" customHeight="1" x14ac:dyDescent="0.3">
      <c r="A43" s="5">
        <v>36</v>
      </c>
      <c r="B43" s="6" t="s">
        <v>95</v>
      </c>
      <c r="C43" s="7" t="s">
        <v>96</v>
      </c>
      <c r="D43" s="5" t="s">
        <v>43</v>
      </c>
      <c r="E43" s="8">
        <v>35</v>
      </c>
      <c r="F43" s="36">
        <v>18445</v>
      </c>
      <c r="G43" s="14">
        <f t="shared" si="39"/>
        <v>645575</v>
      </c>
      <c r="H43" s="36">
        <v>16470</v>
      </c>
      <c r="I43" s="14">
        <f t="shared" si="40"/>
        <v>576450</v>
      </c>
      <c r="J43" s="36">
        <v>16422</v>
      </c>
      <c r="K43" s="14">
        <f t="shared" si="41"/>
        <v>574770</v>
      </c>
      <c r="L43" s="9"/>
      <c r="M43" s="14">
        <f t="shared" si="42"/>
        <v>0</v>
      </c>
      <c r="N43" s="9"/>
      <c r="O43" s="14">
        <f t="shared" si="4"/>
        <v>0</v>
      </c>
      <c r="P43" s="9"/>
      <c r="Q43" s="14">
        <f t="shared" si="5"/>
        <v>0</v>
      </c>
      <c r="R43" s="9"/>
      <c r="S43" s="14">
        <f t="shared" si="6"/>
        <v>0</v>
      </c>
      <c r="T43" s="9"/>
      <c r="U43" s="14">
        <f t="shared" si="7"/>
        <v>0</v>
      </c>
      <c r="V43" s="9"/>
      <c r="W43" s="14">
        <f t="shared" si="8"/>
        <v>0</v>
      </c>
      <c r="X43" s="9"/>
      <c r="Y43" s="14">
        <f t="shared" si="9"/>
        <v>0</v>
      </c>
      <c r="Z43" s="9"/>
      <c r="AA43" s="14">
        <f t="shared" si="10"/>
        <v>0</v>
      </c>
      <c r="AB43" s="9"/>
      <c r="AC43" s="14">
        <f t="shared" si="11"/>
        <v>0</v>
      </c>
      <c r="AD43" s="31">
        <f t="shared" si="43"/>
        <v>16470</v>
      </c>
      <c r="AE43" s="31">
        <f t="shared" si="44"/>
        <v>17112.333333333332</v>
      </c>
      <c r="AF43" s="31">
        <f t="shared" si="45"/>
        <v>1154.3727012249265</v>
      </c>
      <c r="AG43" s="32">
        <f t="shared" si="23"/>
        <v>6.7458521216175071E-2</v>
      </c>
      <c r="AH43" s="31">
        <f t="shared" si="24"/>
        <v>18266.706034558258</v>
      </c>
      <c r="AI43" s="31">
        <f t="shared" si="25"/>
        <v>15957.960632108407</v>
      </c>
      <c r="AJ43" s="13" t="str">
        <f t="shared" si="46"/>
        <v/>
      </c>
      <c r="AK43" s="13">
        <f t="shared" si="47"/>
        <v>16470</v>
      </c>
      <c r="AL43" s="13">
        <f t="shared" si="48"/>
        <v>16422</v>
      </c>
      <c r="AM43" s="13" t="str">
        <f t="shared" si="49"/>
        <v/>
      </c>
      <c r="AN43" s="13" t="str">
        <f t="shared" si="50"/>
        <v/>
      </c>
      <c r="AO43" s="13" t="str">
        <f t="shared" si="51"/>
        <v/>
      </c>
      <c r="AP43" s="13" t="str">
        <f t="shared" si="52"/>
        <v/>
      </c>
      <c r="AQ43" s="13"/>
      <c r="AR43" s="13"/>
      <c r="AS43" s="29">
        <f t="shared" si="26"/>
        <v>16446</v>
      </c>
      <c r="AT43" s="29">
        <f t="shared" si="27"/>
        <v>16446</v>
      </c>
      <c r="AU43" s="29">
        <f t="shared" si="28"/>
        <v>33.941125496954278</v>
      </c>
      <c r="AV43" s="30">
        <f t="shared" si="29"/>
        <v>2.0637921377206787E-3</v>
      </c>
      <c r="AW43" s="31">
        <f t="shared" ref="AW43:AW44" si="54">+ROUND(+IFERROR(AVERAGEIF(AJ43:AR43,"&lt;&gt;q"),"q"),0)</f>
        <v>16446</v>
      </c>
      <c r="AX43" s="31">
        <f t="shared" si="53"/>
        <v>575610</v>
      </c>
      <c r="AY43" s="34" t="s">
        <v>187</v>
      </c>
    </row>
    <row r="44" spans="1:51" ht="79.5" customHeight="1" x14ac:dyDescent="0.3">
      <c r="A44" s="5">
        <v>37</v>
      </c>
      <c r="B44" s="6" t="s">
        <v>97</v>
      </c>
      <c r="C44" s="7" t="s">
        <v>197</v>
      </c>
      <c r="D44" s="5" t="s">
        <v>43</v>
      </c>
      <c r="E44" s="8">
        <v>35</v>
      </c>
      <c r="F44" s="36"/>
      <c r="G44" s="10">
        <f t="shared" si="39"/>
        <v>0</v>
      </c>
      <c r="H44" s="36">
        <v>29750</v>
      </c>
      <c r="I44" s="10">
        <f t="shared" si="40"/>
        <v>1041250</v>
      </c>
      <c r="J44" s="36"/>
      <c r="K44" s="10">
        <f t="shared" si="41"/>
        <v>0</v>
      </c>
      <c r="L44" s="9"/>
      <c r="M44" s="10">
        <f t="shared" si="42"/>
        <v>0</v>
      </c>
      <c r="N44" s="9"/>
      <c r="O44" s="10">
        <f t="shared" si="4"/>
        <v>0</v>
      </c>
      <c r="P44" s="9"/>
      <c r="Q44" s="10">
        <f t="shared" si="5"/>
        <v>0</v>
      </c>
      <c r="R44" s="9"/>
      <c r="S44" s="10">
        <f t="shared" si="6"/>
        <v>0</v>
      </c>
      <c r="T44" s="9">
        <v>32249</v>
      </c>
      <c r="U44" s="10">
        <f t="shared" si="7"/>
        <v>1128715</v>
      </c>
      <c r="V44" s="9">
        <v>31243.449999999997</v>
      </c>
      <c r="W44" s="10">
        <f t="shared" si="8"/>
        <v>1093520.75</v>
      </c>
      <c r="X44" s="9"/>
      <c r="Y44" s="10">
        <f t="shared" si="9"/>
        <v>0</v>
      </c>
      <c r="Z44" s="9"/>
      <c r="AA44" s="10">
        <f t="shared" si="10"/>
        <v>0</v>
      </c>
      <c r="AB44" s="9"/>
      <c r="AC44" s="10">
        <f t="shared" si="11"/>
        <v>0</v>
      </c>
      <c r="AD44" s="31">
        <f t="shared" si="43"/>
        <v>31243.449999999997</v>
      </c>
      <c r="AE44" s="31">
        <f t="shared" si="44"/>
        <v>31080.816666666666</v>
      </c>
      <c r="AF44" s="31">
        <f t="shared" si="45"/>
        <v>1257.4129993098261</v>
      </c>
      <c r="AG44" s="32">
        <f t="shared" si="23"/>
        <v>4.0456240670740405E-2</v>
      </c>
      <c r="AH44" s="31">
        <f t="shared" si="24"/>
        <v>32338.229665976491</v>
      </c>
      <c r="AI44" s="31">
        <f t="shared" si="25"/>
        <v>29823.403667356841</v>
      </c>
      <c r="AJ44" s="13" t="str">
        <f t="shared" si="46"/>
        <v/>
      </c>
      <c r="AK44" s="13" t="str">
        <f t="shared" si="47"/>
        <v/>
      </c>
      <c r="AL44" s="13" t="str">
        <f t="shared" si="48"/>
        <v/>
      </c>
      <c r="AM44" s="13" t="str">
        <f t="shared" si="49"/>
        <v/>
      </c>
      <c r="AN44" s="13" t="str">
        <f t="shared" si="50"/>
        <v/>
      </c>
      <c r="AO44" s="13" t="str">
        <f t="shared" si="51"/>
        <v/>
      </c>
      <c r="AP44" s="13" t="str">
        <f t="shared" si="52"/>
        <v/>
      </c>
      <c r="AQ44" s="13">
        <f>IF(AND(T44&lt;=$AH44,T44&gt;=$AI44),T44,"")</f>
        <v>32249</v>
      </c>
      <c r="AR44" s="13">
        <f>IF(AND(V44&lt;=$AH44,V44&gt;=$AI44),V44,"")</f>
        <v>31243.449999999997</v>
      </c>
      <c r="AS44" s="29">
        <f t="shared" si="26"/>
        <v>31746.224999999999</v>
      </c>
      <c r="AT44" s="29">
        <f t="shared" si="27"/>
        <v>31746.224999999999</v>
      </c>
      <c r="AU44" s="29">
        <f t="shared" si="28"/>
        <v>711.03122382213496</v>
      </c>
      <c r="AV44" s="30">
        <f t="shared" si="29"/>
        <v>2.2397347206546132E-2</v>
      </c>
      <c r="AW44" s="31">
        <f t="shared" si="54"/>
        <v>31746</v>
      </c>
      <c r="AX44" s="31">
        <f t="shared" si="53"/>
        <v>1111110</v>
      </c>
      <c r="AY44" s="34" t="s">
        <v>187</v>
      </c>
    </row>
    <row r="45" spans="1:51" ht="87.75" customHeight="1" x14ac:dyDescent="0.3">
      <c r="A45" s="5">
        <v>38</v>
      </c>
      <c r="B45" s="6" t="s">
        <v>98</v>
      </c>
      <c r="C45" s="7" t="s">
        <v>198</v>
      </c>
      <c r="D45" s="5" t="s">
        <v>43</v>
      </c>
      <c r="E45" s="8">
        <v>35</v>
      </c>
      <c r="F45" s="36">
        <v>2380</v>
      </c>
      <c r="G45" s="14">
        <f t="shared" si="39"/>
        <v>83300</v>
      </c>
      <c r="H45" s="36">
        <v>2420</v>
      </c>
      <c r="I45" s="14">
        <f t="shared" si="40"/>
        <v>84700</v>
      </c>
      <c r="J45" s="36">
        <v>2310</v>
      </c>
      <c r="K45" s="14">
        <f t="shared" si="41"/>
        <v>80850</v>
      </c>
      <c r="L45" s="9"/>
      <c r="M45" s="14">
        <f t="shared" si="42"/>
        <v>0</v>
      </c>
      <c r="N45" s="9"/>
      <c r="O45" s="14">
        <f t="shared" si="4"/>
        <v>0</v>
      </c>
      <c r="P45" s="9"/>
      <c r="Q45" s="14">
        <f t="shared" si="5"/>
        <v>0</v>
      </c>
      <c r="R45" s="9"/>
      <c r="S45" s="14">
        <f t="shared" si="6"/>
        <v>0</v>
      </c>
      <c r="T45" s="9"/>
      <c r="U45" s="14">
        <f t="shared" si="7"/>
        <v>0</v>
      </c>
      <c r="V45" s="9"/>
      <c r="W45" s="14">
        <f t="shared" si="8"/>
        <v>0</v>
      </c>
      <c r="X45" s="9"/>
      <c r="Y45" s="14">
        <f t="shared" si="9"/>
        <v>0</v>
      </c>
      <c r="Z45" s="9"/>
      <c r="AA45" s="14">
        <f t="shared" si="10"/>
        <v>0</v>
      </c>
      <c r="AB45" s="9"/>
      <c r="AC45" s="14">
        <f t="shared" si="11"/>
        <v>0</v>
      </c>
      <c r="AD45" s="31">
        <f t="shared" si="43"/>
        <v>2380</v>
      </c>
      <c r="AE45" s="31">
        <f t="shared" si="44"/>
        <v>2370</v>
      </c>
      <c r="AF45" s="31">
        <f t="shared" si="45"/>
        <v>55.677643628300217</v>
      </c>
      <c r="AG45" s="32">
        <f t="shared" si="23"/>
        <v>2.3492676636413592E-2</v>
      </c>
      <c r="AH45" s="31">
        <f t="shared" si="24"/>
        <v>2425.6776436283003</v>
      </c>
      <c r="AI45" s="31">
        <f t="shared" si="25"/>
        <v>2314.3223563716997</v>
      </c>
      <c r="AJ45" s="13">
        <f t="shared" si="46"/>
        <v>2380</v>
      </c>
      <c r="AK45" s="13">
        <f t="shared" si="47"/>
        <v>2420</v>
      </c>
      <c r="AL45" s="13" t="str">
        <f t="shared" si="48"/>
        <v/>
      </c>
      <c r="AM45" s="13" t="str">
        <f t="shared" si="49"/>
        <v/>
      </c>
      <c r="AN45" s="13" t="str">
        <f t="shared" si="50"/>
        <v/>
      </c>
      <c r="AO45" s="13" t="str">
        <f t="shared" si="51"/>
        <v/>
      </c>
      <c r="AP45" s="13" t="str">
        <f t="shared" si="52"/>
        <v/>
      </c>
      <c r="AQ45" s="13"/>
      <c r="AR45" s="13"/>
      <c r="AS45" s="29">
        <f t="shared" si="26"/>
        <v>2400</v>
      </c>
      <c r="AT45" s="29">
        <f t="shared" si="27"/>
        <v>2400</v>
      </c>
      <c r="AU45" s="29">
        <f t="shared" si="28"/>
        <v>28.284271247461902</v>
      </c>
      <c r="AV45" s="30">
        <f t="shared" si="29"/>
        <v>1.1785113019775792E-2</v>
      </c>
      <c r="AW45" s="31">
        <f>ROUND(AE45,0)</f>
        <v>2370</v>
      </c>
      <c r="AX45" s="31">
        <f t="shared" si="53"/>
        <v>82950</v>
      </c>
      <c r="AY45" s="34" t="s">
        <v>186</v>
      </c>
    </row>
    <row r="46" spans="1:51" ht="99.75" customHeight="1" x14ac:dyDescent="0.3">
      <c r="A46" s="5">
        <v>39</v>
      </c>
      <c r="B46" s="6" t="s">
        <v>99</v>
      </c>
      <c r="C46" s="7" t="s">
        <v>100</v>
      </c>
      <c r="D46" s="5" t="s">
        <v>43</v>
      </c>
      <c r="E46" s="8">
        <v>35</v>
      </c>
      <c r="F46" s="9">
        <v>4641</v>
      </c>
      <c r="G46" s="10">
        <f t="shared" si="39"/>
        <v>162435</v>
      </c>
      <c r="H46" s="9">
        <v>4760</v>
      </c>
      <c r="I46" s="10">
        <f t="shared" si="40"/>
        <v>166600</v>
      </c>
      <c r="J46" s="9">
        <v>4670</v>
      </c>
      <c r="K46" s="10">
        <f t="shared" si="41"/>
        <v>163450</v>
      </c>
      <c r="L46" s="9"/>
      <c r="M46" s="10">
        <f t="shared" si="42"/>
        <v>0</v>
      </c>
      <c r="N46" s="9"/>
      <c r="O46" s="10">
        <f t="shared" si="4"/>
        <v>0</v>
      </c>
      <c r="P46" s="9"/>
      <c r="Q46" s="10">
        <f t="shared" si="5"/>
        <v>0</v>
      </c>
      <c r="R46" s="9"/>
      <c r="S46" s="10">
        <f t="shared" si="6"/>
        <v>0</v>
      </c>
      <c r="T46" s="9"/>
      <c r="U46" s="10">
        <f t="shared" si="7"/>
        <v>0</v>
      </c>
      <c r="V46" s="9"/>
      <c r="W46" s="10">
        <f t="shared" si="8"/>
        <v>0</v>
      </c>
      <c r="X46" s="9"/>
      <c r="Y46" s="10">
        <f t="shared" si="9"/>
        <v>0</v>
      </c>
      <c r="Z46" s="9"/>
      <c r="AA46" s="10">
        <f t="shared" si="10"/>
        <v>0</v>
      </c>
      <c r="AB46" s="9"/>
      <c r="AC46" s="10">
        <f t="shared" si="11"/>
        <v>0</v>
      </c>
      <c r="AD46" s="31">
        <f t="shared" si="43"/>
        <v>4670</v>
      </c>
      <c r="AE46" s="31">
        <f t="shared" si="44"/>
        <v>4690.333333333333</v>
      </c>
      <c r="AF46" s="31">
        <f t="shared" si="45"/>
        <v>62.051054248363371</v>
      </c>
      <c r="AG46" s="32">
        <f t="shared" si="23"/>
        <v>1.3229561704576088E-2</v>
      </c>
      <c r="AH46" s="31">
        <f t="shared" si="24"/>
        <v>4752.3843875816965</v>
      </c>
      <c r="AI46" s="31">
        <f t="shared" si="25"/>
        <v>4628.2822790849696</v>
      </c>
      <c r="AJ46" s="13">
        <f t="shared" si="46"/>
        <v>4641</v>
      </c>
      <c r="AK46" s="13" t="str">
        <f t="shared" si="47"/>
        <v/>
      </c>
      <c r="AL46" s="13">
        <f t="shared" si="48"/>
        <v>4670</v>
      </c>
      <c r="AM46" s="13" t="str">
        <f t="shared" si="49"/>
        <v/>
      </c>
      <c r="AN46" s="13" t="str">
        <f t="shared" si="50"/>
        <v/>
      </c>
      <c r="AO46" s="13" t="str">
        <f t="shared" si="51"/>
        <v/>
      </c>
      <c r="AP46" s="13" t="str">
        <f t="shared" si="52"/>
        <v/>
      </c>
      <c r="AQ46" s="13"/>
      <c r="AR46" s="13"/>
      <c r="AS46" s="29">
        <f t="shared" si="26"/>
        <v>4655.5</v>
      </c>
      <c r="AT46" s="29">
        <f t="shared" si="27"/>
        <v>4655.5</v>
      </c>
      <c r="AU46" s="29">
        <f t="shared" si="28"/>
        <v>20.506096654409877</v>
      </c>
      <c r="AV46" s="30">
        <f t="shared" si="29"/>
        <v>4.4047033947824891E-3</v>
      </c>
      <c r="AW46" s="31">
        <f>+ROUND(+IFERROR(AVERAGEIF(AJ46:AR46,"&lt;&gt;q"),"q"),0)</f>
        <v>4656</v>
      </c>
      <c r="AX46" s="31">
        <f t="shared" si="53"/>
        <v>162960</v>
      </c>
      <c r="AY46" s="34" t="s">
        <v>187</v>
      </c>
    </row>
    <row r="47" spans="1:51" ht="99.75" customHeight="1" x14ac:dyDescent="0.3">
      <c r="A47" s="5">
        <v>40</v>
      </c>
      <c r="B47" s="38" t="s">
        <v>205</v>
      </c>
      <c r="C47" s="7" t="s">
        <v>101</v>
      </c>
      <c r="D47" s="5" t="s">
        <v>43</v>
      </c>
      <c r="E47" s="8">
        <v>240</v>
      </c>
      <c r="F47" s="9">
        <v>4760</v>
      </c>
      <c r="G47" s="10">
        <f t="shared" si="39"/>
        <v>1142400</v>
      </c>
      <c r="H47" s="9">
        <v>4760</v>
      </c>
      <c r="I47" s="10">
        <f t="shared" si="40"/>
        <v>1142400</v>
      </c>
      <c r="J47" s="9">
        <v>4670</v>
      </c>
      <c r="K47" s="10">
        <f t="shared" si="41"/>
        <v>1120800</v>
      </c>
      <c r="L47" s="9"/>
      <c r="M47" s="10">
        <f t="shared" si="42"/>
        <v>0</v>
      </c>
      <c r="N47" s="9"/>
      <c r="O47" s="10">
        <f t="shared" si="4"/>
        <v>0</v>
      </c>
      <c r="P47" s="16"/>
      <c r="Q47" s="15">
        <f t="shared" si="5"/>
        <v>0</v>
      </c>
      <c r="R47" s="16"/>
      <c r="S47" s="15">
        <f t="shared" si="6"/>
        <v>0</v>
      </c>
      <c r="T47" s="16"/>
      <c r="U47" s="15">
        <f t="shared" si="7"/>
        <v>0</v>
      </c>
      <c r="V47" s="16"/>
      <c r="W47" s="15">
        <f t="shared" si="8"/>
        <v>0</v>
      </c>
      <c r="X47" s="16"/>
      <c r="Y47" s="15">
        <f t="shared" si="9"/>
        <v>0</v>
      </c>
      <c r="Z47" s="16"/>
      <c r="AA47" s="15">
        <f t="shared" si="10"/>
        <v>0</v>
      </c>
      <c r="AB47" s="16"/>
      <c r="AC47" s="15">
        <f t="shared" si="11"/>
        <v>0</v>
      </c>
      <c r="AD47" s="31">
        <f t="shared" si="43"/>
        <v>4760</v>
      </c>
      <c r="AE47" s="31">
        <f t="shared" si="44"/>
        <v>4730</v>
      </c>
      <c r="AF47" s="31">
        <f t="shared" si="45"/>
        <v>51.96152422706632</v>
      </c>
      <c r="AG47" s="32">
        <f t="shared" si="23"/>
        <v>1.0985523092403027E-2</v>
      </c>
      <c r="AH47" s="31">
        <f t="shared" si="24"/>
        <v>4781.9615242270665</v>
      </c>
      <c r="AI47" s="31">
        <f t="shared" si="25"/>
        <v>4678.0384757729335</v>
      </c>
      <c r="AJ47" s="13">
        <f t="shared" si="46"/>
        <v>4760</v>
      </c>
      <c r="AK47" s="13">
        <f t="shared" si="47"/>
        <v>4760</v>
      </c>
      <c r="AL47" s="13" t="str">
        <f t="shared" si="48"/>
        <v/>
      </c>
      <c r="AM47" s="13" t="str">
        <f t="shared" si="49"/>
        <v/>
      </c>
      <c r="AN47" s="13" t="str">
        <f t="shared" si="50"/>
        <v/>
      </c>
      <c r="AO47" s="13" t="str">
        <f t="shared" si="51"/>
        <v/>
      </c>
      <c r="AP47" s="13" t="str">
        <f t="shared" si="52"/>
        <v/>
      </c>
      <c r="AQ47" s="13"/>
      <c r="AR47" s="13"/>
      <c r="AS47" s="29">
        <f t="shared" si="26"/>
        <v>4760</v>
      </c>
      <c r="AT47" s="29">
        <f t="shared" si="27"/>
        <v>4760</v>
      </c>
      <c r="AU47" s="29">
        <f t="shared" si="28"/>
        <v>0</v>
      </c>
      <c r="AV47" s="30">
        <f t="shared" si="29"/>
        <v>0</v>
      </c>
      <c r="AW47" s="31">
        <f t="shared" ref="AW47:AW49" si="55">ROUND(AE47,0)</f>
        <v>4730</v>
      </c>
      <c r="AX47" s="31">
        <f t="shared" si="53"/>
        <v>1135200</v>
      </c>
      <c r="AY47" s="34" t="s">
        <v>186</v>
      </c>
    </row>
    <row r="48" spans="1:51" s="37" customFormat="1" ht="99.75" customHeight="1" x14ac:dyDescent="0.3">
      <c r="A48" s="5">
        <v>41</v>
      </c>
      <c r="B48" s="40" t="s">
        <v>203</v>
      </c>
      <c r="C48" s="39" t="s">
        <v>204</v>
      </c>
      <c r="D48" s="5" t="s">
        <v>43</v>
      </c>
      <c r="E48" s="8">
        <v>50</v>
      </c>
      <c r="F48" s="9">
        <v>2380</v>
      </c>
      <c r="G48" s="10">
        <f t="shared" ref="G48" si="56">+$E48*F48</f>
        <v>119000</v>
      </c>
      <c r="H48" s="9">
        <v>2420</v>
      </c>
      <c r="I48" s="10">
        <f t="shared" ref="I48" si="57">+$E48*H48</f>
        <v>121000</v>
      </c>
      <c r="J48" s="9">
        <v>2310</v>
      </c>
      <c r="K48" s="10">
        <f t="shared" ref="K48" si="58">+$E48*J48</f>
        <v>115500</v>
      </c>
      <c r="L48" s="9"/>
      <c r="M48" s="10">
        <f t="shared" ref="M48" si="59">+$E48*L48</f>
        <v>0</v>
      </c>
      <c r="N48" s="9"/>
      <c r="O48" s="10">
        <f t="shared" ref="O48" si="60">+$E48*N48</f>
        <v>0</v>
      </c>
      <c r="P48" s="16"/>
      <c r="Q48" s="15">
        <f t="shared" ref="Q48" si="61">+$E48*P48</f>
        <v>0</v>
      </c>
      <c r="R48" s="16"/>
      <c r="S48" s="15">
        <f t="shared" ref="S48" si="62">+$E48*R48</f>
        <v>0</v>
      </c>
      <c r="T48" s="16"/>
      <c r="U48" s="15">
        <f t="shared" ref="U48" si="63">+$E48*T48</f>
        <v>0</v>
      </c>
      <c r="V48" s="16"/>
      <c r="W48" s="15">
        <f t="shared" ref="W48" si="64">+$E48*V48</f>
        <v>0</v>
      </c>
      <c r="X48" s="16"/>
      <c r="Y48" s="15">
        <f t="shared" ref="Y48" si="65">+$E48*X48</f>
        <v>0</v>
      </c>
      <c r="Z48" s="16"/>
      <c r="AA48" s="15">
        <f t="shared" ref="AA48" si="66">+$E48*Z48</f>
        <v>0</v>
      </c>
      <c r="AB48" s="16"/>
      <c r="AC48" s="15">
        <f t="shared" ref="AC48" si="67">+$E48*AB48</f>
        <v>0</v>
      </c>
      <c r="AD48" s="31">
        <f t="shared" si="43"/>
        <v>2380</v>
      </c>
      <c r="AE48" s="31">
        <f t="shared" si="44"/>
        <v>2370</v>
      </c>
      <c r="AF48" s="31">
        <f t="shared" si="45"/>
        <v>55.677643628300217</v>
      </c>
      <c r="AG48" s="32">
        <f t="shared" ref="AG48" si="68">IFERROR((AF48/AE48)*100%,"")</f>
        <v>2.3492676636413592E-2</v>
      </c>
      <c r="AH48" s="31">
        <f t="shared" ref="AH48" si="69">IFERROR(AE48+AF48,"")</f>
        <v>2425.6776436283003</v>
      </c>
      <c r="AI48" s="31">
        <f t="shared" ref="AI48" si="70">IFERROR(AE48-AF48,"")</f>
        <v>2314.3223563716997</v>
      </c>
      <c r="AJ48" s="13">
        <f t="shared" ref="AJ48" si="71">IF(AND(F48&lt;=$AH48,F48&gt;=$AI48),F48,"")</f>
        <v>2380</v>
      </c>
      <c r="AK48" s="13">
        <f t="shared" ref="AK48" si="72">IF(AND(H48&lt;=$AH48,H48&gt;=$AI48),H48,"")</f>
        <v>2420</v>
      </c>
      <c r="AL48" s="13" t="str">
        <f t="shared" ref="AL48" si="73">IF(AND(J48&lt;=$AH48,J48&gt;=$AI48),J48,"")</f>
        <v/>
      </c>
      <c r="AM48" s="13" t="str">
        <f t="shared" ref="AM48" si="74">IF(AND(L48&lt;=$AH48,L48&gt;=$AI48),L48,"")</f>
        <v/>
      </c>
      <c r="AN48" s="13" t="str">
        <f t="shared" ref="AN48" si="75">IF(AND(N48&lt;=$AH48,N48&gt;=$AI48),N48,"")</f>
        <v/>
      </c>
      <c r="AO48" s="13" t="str">
        <f t="shared" ref="AO48" si="76">IF(AND(P48&lt;=$AH48,P48&gt;=$AI48),P48,"")</f>
        <v/>
      </c>
      <c r="AP48" s="13" t="str">
        <f t="shared" ref="AP48" si="77">IF(AND(R48&lt;=$AH48,R48&gt;=$AI48),R48,"")</f>
        <v/>
      </c>
      <c r="AQ48" s="13"/>
      <c r="AR48" s="13"/>
      <c r="AS48" s="29">
        <f t="shared" si="26"/>
        <v>2400</v>
      </c>
      <c r="AT48" s="29">
        <f t="shared" si="27"/>
        <v>2400</v>
      </c>
      <c r="AU48" s="29">
        <f t="shared" si="28"/>
        <v>28.284271247461902</v>
      </c>
      <c r="AV48" s="30">
        <f t="shared" si="29"/>
        <v>1.1785113019775792E-2</v>
      </c>
      <c r="AW48" s="31">
        <f t="shared" ref="AW48" si="78">ROUND(AE48,0)</f>
        <v>2370</v>
      </c>
      <c r="AX48" s="31">
        <f t="shared" ref="AX48" si="79">AW48*E48</f>
        <v>118500</v>
      </c>
      <c r="AY48" s="34" t="s">
        <v>186</v>
      </c>
    </row>
    <row r="49" spans="1:51" ht="99.75" customHeight="1" x14ac:dyDescent="0.3">
      <c r="A49" s="5">
        <v>42</v>
      </c>
      <c r="B49" s="79" t="s">
        <v>102</v>
      </c>
      <c r="C49" s="7" t="s">
        <v>238</v>
      </c>
      <c r="D49" s="5" t="s">
        <v>43</v>
      </c>
      <c r="E49" s="8">
        <v>1016</v>
      </c>
      <c r="F49" s="9">
        <v>8330</v>
      </c>
      <c r="G49" s="10">
        <f t="shared" si="39"/>
        <v>8463280</v>
      </c>
      <c r="H49" s="9">
        <v>8925</v>
      </c>
      <c r="I49" s="10">
        <f t="shared" si="40"/>
        <v>9067800</v>
      </c>
      <c r="J49" s="9">
        <v>8635</v>
      </c>
      <c r="K49" s="10">
        <f t="shared" si="41"/>
        <v>8773160</v>
      </c>
      <c r="L49" s="9"/>
      <c r="M49" s="10">
        <f t="shared" si="42"/>
        <v>0</v>
      </c>
      <c r="N49" s="9"/>
      <c r="O49" s="10">
        <f t="shared" si="4"/>
        <v>0</v>
      </c>
      <c r="P49" s="16"/>
      <c r="Q49" s="15">
        <f t="shared" si="5"/>
        <v>0</v>
      </c>
      <c r="R49" s="16"/>
      <c r="S49" s="15">
        <f t="shared" si="6"/>
        <v>0</v>
      </c>
      <c r="T49" s="16"/>
      <c r="U49" s="15">
        <f t="shared" si="7"/>
        <v>0</v>
      </c>
      <c r="V49" s="16"/>
      <c r="W49" s="15">
        <f t="shared" si="8"/>
        <v>0</v>
      </c>
      <c r="X49" s="16"/>
      <c r="Y49" s="15">
        <f t="shared" si="9"/>
        <v>0</v>
      </c>
      <c r="Z49" s="16"/>
      <c r="AA49" s="15">
        <f t="shared" si="10"/>
        <v>0</v>
      </c>
      <c r="AB49" s="16"/>
      <c r="AC49" s="15">
        <f t="shared" si="11"/>
        <v>0</v>
      </c>
      <c r="AD49" s="31">
        <f t="shared" si="43"/>
        <v>8635</v>
      </c>
      <c r="AE49" s="31">
        <f t="shared" si="44"/>
        <v>8630</v>
      </c>
      <c r="AF49" s="31">
        <f t="shared" si="45"/>
        <v>297.53151093623683</v>
      </c>
      <c r="AG49" s="32">
        <f t="shared" si="23"/>
        <v>3.4476420734210526E-2</v>
      </c>
      <c r="AH49" s="31">
        <f t="shared" si="24"/>
        <v>8927.5315109362364</v>
      </c>
      <c r="AI49" s="31">
        <f t="shared" si="25"/>
        <v>8332.4684890637636</v>
      </c>
      <c r="AJ49" s="13" t="str">
        <f t="shared" si="46"/>
        <v/>
      </c>
      <c r="AK49" s="13">
        <f t="shared" si="47"/>
        <v>8925</v>
      </c>
      <c r="AL49" s="13">
        <f t="shared" si="48"/>
        <v>8635</v>
      </c>
      <c r="AM49" s="13" t="str">
        <f t="shared" si="49"/>
        <v/>
      </c>
      <c r="AN49" s="13" t="str">
        <f t="shared" si="50"/>
        <v/>
      </c>
      <c r="AO49" s="13" t="str">
        <f t="shared" si="51"/>
        <v/>
      </c>
      <c r="AP49" s="13" t="str">
        <f t="shared" si="52"/>
        <v/>
      </c>
      <c r="AQ49" s="13"/>
      <c r="AR49" s="13"/>
      <c r="AS49" s="29">
        <f t="shared" si="26"/>
        <v>8780</v>
      </c>
      <c r="AT49" s="29">
        <f t="shared" si="27"/>
        <v>8780</v>
      </c>
      <c r="AU49" s="29">
        <f t="shared" si="28"/>
        <v>205.06096654409879</v>
      </c>
      <c r="AV49" s="30">
        <f t="shared" si="29"/>
        <v>2.3355463159920136E-2</v>
      </c>
      <c r="AW49" s="31">
        <f t="shared" si="55"/>
        <v>8630</v>
      </c>
      <c r="AX49" s="31">
        <f t="shared" si="53"/>
        <v>8768080</v>
      </c>
      <c r="AY49" s="34" t="s">
        <v>186</v>
      </c>
    </row>
    <row r="50" spans="1:51" ht="99.75" customHeight="1" x14ac:dyDescent="0.3">
      <c r="A50" s="5">
        <v>43</v>
      </c>
      <c r="B50" s="6" t="s">
        <v>103</v>
      </c>
      <c r="C50" s="7" t="s">
        <v>104</v>
      </c>
      <c r="D50" s="5" t="s">
        <v>43</v>
      </c>
      <c r="E50" s="8">
        <v>480</v>
      </c>
      <c r="F50" s="9">
        <v>4760</v>
      </c>
      <c r="G50" s="10">
        <f t="shared" si="39"/>
        <v>2284800</v>
      </c>
      <c r="H50" s="9">
        <v>4760</v>
      </c>
      <c r="I50" s="10">
        <f t="shared" si="40"/>
        <v>2284800</v>
      </c>
      <c r="J50" s="9">
        <v>4965</v>
      </c>
      <c r="K50" s="10">
        <f t="shared" si="41"/>
        <v>2383200</v>
      </c>
      <c r="L50" s="9"/>
      <c r="M50" s="10">
        <f t="shared" si="42"/>
        <v>0</v>
      </c>
      <c r="N50" s="9"/>
      <c r="O50" s="10">
        <f t="shared" si="4"/>
        <v>0</v>
      </c>
      <c r="P50" s="16"/>
      <c r="Q50" s="15">
        <f t="shared" si="5"/>
        <v>0</v>
      </c>
      <c r="R50" s="16"/>
      <c r="S50" s="15">
        <f t="shared" si="6"/>
        <v>0</v>
      </c>
      <c r="T50" s="16"/>
      <c r="U50" s="15">
        <f t="shared" si="7"/>
        <v>0</v>
      </c>
      <c r="V50" s="16"/>
      <c r="W50" s="15">
        <f t="shared" si="8"/>
        <v>0</v>
      </c>
      <c r="X50" s="16"/>
      <c r="Y50" s="15">
        <f t="shared" si="9"/>
        <v>0</v>
      </c>
      <c r="Z50" s="16"/>
      <c r="AA50" s="15">
        <f t="shared" si="10"/>
        <v>0</v>
      </c>
      <c r="AB50" s="16"/>
      <c r="AC50" s="15">
        <f t="shared" si="11"/>
        <v>0</v>
      </c>
      <c r="AD50" s="31">
        <f t="shared" si="43"/>
        <v>4760</v>
      </c>
      <c r="AE50" s="31">
        <f t="shared" si="44"/>
        <v>4828.333333333333</v>
      </c>
      <c r="AF50" s="31">
        <f t="shared" si="45"/>
        <v>118.35680518387329</v>
      </c>
      <c r="AG50" s="32">
        <f t="shared" si="23"/>
        <v>2.4512973113677592E-2</v>
      </c>
      <c r="AH50" s="31">
        <f t="shared" si="24"/>
        <v>4946.6901385172059</v>
      </c>
      <c r="AI50" s="31">
        <f t="shared" si="25"/>
        <v>4709.9765281494601</v>
      </c>
      <c r="AJ50" s="13">
        <f t="shared" si="46"/>
        <v>4760</v>
      </c>
      <c r="AK50" s="13">
        <f t="shared" si="47"/>
        <v>4760</v>
      </c>
      <c r="AL50" s="13" t="str">
        <f t="shared" si="48"/>
        <v/>
      </c>
      <c r="AM50" s="13" t="str">
        <f t="shared" si="49"/>
        <v/>
      </c>
      <c r="AN50" s="13" t="str">
        <f t="shared" si="50"/>
        <v/>
      </c>
      <c r="AO50" s="13" t="str">
        <f t="shared" si="51"/>
        <v/>
      </c>
      <c r="AP50" s="13" t="str">
        <f t="shared" si="52"/>
        <v/>
      </c>
      <c r="AQ50" s="13"/>
      <c r="AR50" s="13"/>
      <c r="AS50" s="29">
        <f t="shared" si="26"/>
        <v>4760</v>
      </c>
      <c r="AT50" s="29">
        <f t="shared" si="27"/>
        <v>4760</v>
      </c>
      <c r="AU50" s="29">
        <f t="shared" si="28"/>
        <v>0</v>
      </c>
      <c r="AV50" s="30">
        <f t="shared" si="29"/>
        <v>0</v>
      </c>
      <c r="AW50" s="31">
        <f>+ROUND(+IFERROR(AVERAGEIF(AJ50:AR50,"&lt;&gt;q"),"q"),0)</f>
        <v>4760</v>
      </c>
      <c r="AX50" s="31">
        <f t="shared" si="53"/>
        <v>2284800</v>
      </c>
      <c r="AY50" s="34" t="s">
        <v>187</v>
      </c>
    </row>
    <row r="51" spans="1:51" ht="99.75" customHeight="1" x14ac:dyDescent="0.3">
      <c r="A51" s="5">
        <v>44</v>
      </c>
      <c r="B51" s="6" t="s">
        <v>105</v>
      </c>
      <c r="C51" s="7" t="s">
        <v>106</v>
      </c>
      <c r="D51" s="5" t="s">
        <v>43</v>
      </c>
      <c r="E51" s="8">
        <v>500</v>
      </c>
      <c r="F51" s="9">
        <v>4760</v>
      </c>
      <c r="G51" s="10">
        <f t="shared" si="39"/>
        <v>2380000</v>
      </c>
      <c r="H51" s="9">
        <v>4760</v>
      </c>
      <c r="I51" s="10">
        <f t="shared" si="40"/>
        <v>2380000</v>
      </c>
      <c r="J51" s="9">
        <v>4670</v>
      </c>
      <c r="K51" s="10">
        <f t="shared" si="41"/>
        <v>2335000</v>
      </c>
      <c r="L51" s="9"/>
      <c r="M51" s="10">
        <f t="shared" si="42"/>
        <v>0</v>
      </c>
      <c r="N51" s="9"/>
      <c r="O51" s="10">
        <f t="shared" si="4"/>
        <v>0</v>
      </c>
      <c r="P51" s="16"/>
      <c r="Q51" s="15">
        <f t="shared" si="5"/>
        <v>0</v>
      </c>
      <c r="R51" s="16"/>
      <c r="S51" s="15">
        <f t="shared" si="6"/>
        <v>0</v>
      </c>
      <c r="T51" s="16"/>
      <c r="U51" s="15">
        <f t="shared" si="7"/>
        <v>0</v>
      </c>
      <c r="V51" s="16"/>
      <c r="W51" s="15">
        <f t="shared" si="8"/>
        <v>0</v>
      </c>
      <c r="X51" s="16"/>
      <c r="Y51" s="15">
        <f t="shared" si="9"/>
        <v>0</v>
      </c>
      <c r="Z51" s="16"/>
      <c r="AA51" s="15">
        <f t="shared" si="10"/>
        <v>0</v>
      </c>
      <c r="AB51" s="16"/>
      <c r="AC51" s="15">
        <f t="shared" si="11"/>
        <v>0</v>
      </c>
      <c r="AD51" s="31">
        <f t="shared" si="43"/>
        <v>4760</v>
      </c>
      <c r="AE51" s="31">
        <f t="shared" si="44"/>
        <v>4730</v>
      </c>
      <c r="AF51" s="31">
        <f t="shared" si="45"/>
        <v>51.96152422706632</v>
      </c>
      <c r="AG51" s="32">
        <f t="shared" si="23"/>
        <v>1.0985523092403027E-2</v>
      </c>
      <c r="AH51" s="31">
        <f t="shared" si="24"/>
        <v>4781.9615242270665</v>
      </c>
      <c r="AI51" s="31">
        <f t="shared" si="25"/>
        <v>4678.0384757729335</v>
      </c>
      <c r="AJ51" s="13">
        <f t="shared" si="46"/>
        <v>4760</v>
      </c>
      <c r="AK51" s="13">
        <f t="shared" si="47"/>
        <v>4760</v>
      </c>
      <c r="AL51" s="13" t="str">
        <f t="shared" si="48"/>
        <v/>
      </c>
      <c r="AM51" s="13" t="str">
        <f t="shared" si="49"/>
        <v/>
      </c>
      <c r="AN51" s="13" t="str">
        <f t="shared" si="50"/>
        <v/>
      </c>
      <c r="AO51" s="13" t="str">
        <f t="shared" si="51"/>
        <v/>
      </c>
      <c r="AP51" s="13" t="str">
        <f t="shared" si="52"/>
        <v/>
      </c>
      <c r="AQ51" s="13"/>
      <c r="AR51" s="13"/>
      <c r="AS51" s="29">
        <f t="shared" si="26"/>
        <v>4760</v>
      </c>
      <c r="AT51" s="29">
        <f t="shared" si="27"/>
        <v>4760</v>
      </c>
      <c r="AU51" s="29">
        <f t="shared" si="28"/>
        <v>0</v>
      </c>
      <c r="AV51" s="30">
        <f t="shared" si="29"/>
        <v>0</v>
      </c>
      <c r="AW51" s="31">
        <f>ROUND(AE51,0)</f>
        <v>4730</v>
      </c>
      <c r="AX51" s="31">
        <f t="shared" si="53"/>
        <v>2365000</v>
      </c>
      <c r="AY51" s="34" t="s">
        <v>186</v>
      </c>
    </row>
    <row r="52" spans="1:51" ht="66.599999999999994" customHeight="1" x14ac:dyDescent="0.3">
      <c r="A52" s="5">
        <v>45</v>
      </c>
      <c r="B52" s="6" t="s">
        <v>107</v>
      </c>
      <c r="C52" s="7" t="s">
        <v>108</v>
      </c>
      <c r="D52" s="5" t="s">
        <v>52</v>
      </c>
      <c r="E52" s="8">
        <v>11</v>
      </c>
      <c r="F52" s="9">
        <v>13685</v>
      </c>
      <c r="G52" s="14">
        <f t="shared" si="39"/>
        <v>150535</v>
      </c>
      <c r="H52" s="9">
        <v>14860</v>
      </c>
      <c r="I52" s="14">
        <f t="shared" si="40"/>
        <v>163460</v>
      </c>
      <c r="J52" s="9">
        <v>14200</v>
      </c>
      <c r="K52" s="14">
        <f t="shared" si="41"/>
        <v>156200</v>
      </c>
      <c r="L52" s="9"/>
      <c r="M52" s="14">
        <f t="shared" si="42"/>
        <v>0</v>
      </c>
      <c r="N52" s="9"/>
      <c r="O52" s="14">
        <f t="shared" si="4"/>
        <v>0</v>
      </c>
      <c r="P52" s="9"/>
      <c r="Q52" s="14">
        <f t="shared" si="5"/>
        <v>0</v>
      </c>
      <c r="R52" s="9"/>
      <c r="S52" s="14">
        <f t="shared" si="6"/>
        <v>0</v>
      </c>
      <c r="T52" s="9"/>
      <c r="U52" s="14">
        <f t="shared" si="7"/>
        <v>0</v>
      </c>
      <c r="V52" s="9"/>
      <c r="W52" s="14">
        <f t="shared" si="8"/>
        <v>0</v>
      </c>
      <c r="X52" s="9"/>
      <c r="Y52" s="14">
        <f t="shared" si="9"/>
        <v>0</v>
      </c>
      <c r="Z52" s="9"/>
      <c r="AA52" s="14">
        <f t="shared" si="10"/>
        <v>0</v>
      </c>
      <c r="AB52" s="9"/>
      <c r="AC52" s="14">
        <f t="shared" si="11"/>
        <v>0</v>
      </c>
      <c r="AD52" s="31">
        <f t="shared" si="43"/>
        <v>14200</v>
      </c>
      <c r="AE52" s="31">
        <f t="shared" si="44"/>
        <v>14248.333333333334</v>
      </c>
      <c r="AF52" s="31">
        <f t="shared" si="45"/>
        <v>588.98924721367644</v>
      </c>
      <c r="AG52" s="32">
        <f t="shared" si="23"/>
        <v>4.1337413537045953E-2</v>
      </c>
      <c r="AH52" s="31">
        <f t="shared" si="24"/>
        <v>14837.32258054701</v>
      </c>
      <c r="AI52" s="31">
        <f t="shared" si="25"/>
        <v>13659.344086119658</v>
      </c>
      <c r="AJ52" s="13">
        <f t="shared" si="46"/>
        <v>13685</v>
      </c>
      <c r="AK52" s="13" t="str">
        <f t="shared" si="47"/>
        <v/>
      </c>
      <c r="AL52" s="13">
        <f t="shared" si="48"/>
        <v>14200</v>
      </c>
      <c r="AM52" s="13" t="str">
        <f t="shared" si="49"/>
        <v/>
      </c>
      <c r="AN52" s="13" t="str">
        <f t="shared" si="50"/>
        <v/>
      </c>
      <c r="AO52" s="13" t="str">
        <f t="shared" si="51"/>
        <v/>
      </c>
      <c r="AP52" s="13" t="str">
        <f t="shared" si="52"/>
        <v/>
      </c>
      <c r="AQ52" s="13"/>
      <c r="AR52" s="13"/>
      <c r="AS52" s="29">
        <f t="shared" si="26"/>
        <v>13942.5</v>
      </c>
      <c r="AT52" s="29">
        <f t="shared" si="27"/>
        <v>13942.5</v>
      </c>
      <c r="AU52" s="29">
        <f t="shared" si="28"/>
        <v>364.15999231107196</v>
      </c>
      <c r="AV52" s="30">
        <f t="shared" si="29"/>
        <v>2.6118701259535373E-2</v>
      </c>
      <c r="AW52" s="31">
        <f>+ROUND(+IFERROR(AVERAGEIF(AJ52:AR52,"&lt;&gt;q"),"q"),0)</f>
        <v>13943</v>
      </c>
      <c r="AX52" s="31">
        <f t="shared" si="53"/>
        <v>153373</v>
      </c>
      <c r="AY52" s="34" t="s">
        <v>187</v>
      </c>
    </row>
    <row r="53" spans="1:51" ht="114" x14ac:dyDescent="0.3">
      <c r="A53" s="5">
        <v>46</v>
      </c>
      <c r="B53" s="80" t="s">
        <v>109</v>
      </c>
      <c r="C53" s="7" t="s">
        <v>110</v>
      </c>
      <c r="D53" s="5" t="s">
        <v>66</v>
      </c>
      <c r="E53" s="8">
        <f>8+156</f>
        <v>164</v>
      </c>
      <c r="F53" s="9"/>
      <c r="G53" s="10">
        <f t="shared" si="39"/>
        <v>0</v>
      </c>
      <c r="H53" s="9"/>
      <c r="I53" s="10">
        <f t="shared" si="40"/>
        <v>0</v>
      </c>
      <c r="J53" s="9"/>
      <c r="K53" s="10">
        <f t="shared" si="41"/>
        <v>0</v>
      </c>
      <c r="L53" s="9"/>
      <c r="M53" s="10">
        <f t="shared" si="42"/>
        <v>0</v>
      </c>
      <c r="N53" s="9">
        <v>33479</v>
      </c>
      <c r="O53" s="10">
        <f t="shared" si="4"/>
        <v>5490556</v>
      </c>
      <c r="P53" s="9"/>
      <c r="Q53" s="10">
        <f t="shared" si="5"/>
        <v>0</v>
      </c>
      <c r="R53" s="9"/>
      <c r="S53" s="10">
        <f t="shared" si="6"/>
        <v>0</v>
      </c>
      <c r="T53" s="9"/>
      <c r="U53" s="10">
        <f t="shared" si="7"/>
        <v>0</v>
      </c>
      <c r="V53" s="9"/>
      <c r="W53" s="10">
        <f t="shared" si="8"/>
        <v>0</v>
      </c>
      <c r="X53" s="9"/>
      <c r="Y53" s="10">
        <f t="shared" si="9"/>
        <v>0</v>
      </c>
      <c r="Z53" s="9"/>
      <c r="AA53" s="10">
        <f t="shared" si="10"/>
        <v>0</v>
      </c>
      <c r="AB53" s="9"/>
      <c r="AC53" s="10">
        <f t="shared" si="11"/>
        <v>0</v>
      </c>
      <c r="AD53" s="31">
        <f t="shared" si="43"/>
        <v>33479</v>
      </c>
      <c r="AE53" s="31">
        <f t="shared" si="44"/>
        <v>33479</v>
      </c>
      <c r="AF53" s="31" t="str">
        <f t="shared" si="45"/>
        <v/>
      </c>
      <c r="AG53" s="32" t="str">
        <f t="shared" si="23"/>
        <v/>
      </c>
      <c r="AH53" s="31" t="str">
        <f t="shared" si="24"/>
        <v/>
      </c>
      <c r="AI53" s="31" t="str">
        <f t="shared" si="25"/>
        <v/>
      </c>
      <c r="AJ53" s="13">
        <f t="shared" si="46"/>
        <v>0</v>
      </c>
      <c r="AK53" s="13">
        <f t="shared" si="47"/>
        <v>0</v>
      </c>
      <c r="AL53" s="13">
        <f t="shared" si="48"/>
        <v>0</v>
      </c>
      <c r="AM53" s="13">
        <f t="shared" si="49"/>
        <v>0</v>
      </c>
      <c r="AN53" s="13" t="str">
        <f t="shared" si="50"/>
        <v/>
      </c>
      <c r="AO53" s="13">
        <f t="shared" si="51"/>
        <v>0</v>
      </c>
      <c r="AP53" s="13">
        <f t="shared" si="52"/>
        <v>0</v>
      </c>
      <c r="AQ53" s="13"/>
      <c r="AR53" s="13"/>
      <c r="AS53" s="29">
        <f t="shared" si="26"/>
        <v>0</v>
      </c>
      <c r="AT53" s="29">
        <f t="shared" si="27"/>
        <v>0</v>
      </c>
      <c r="AU53" s="29">
        <f t="shared" si="28"/>
        <v>0</v>
      </c>
      <c r="AV53" s="30" t="str">
        <f t="shared" si="29"/>
        <v/>
      </c>
      <c r="AW53" s="31">
        <f t="shared" ref="AW53:AW54" si="80">ROUND(AE53,0)</f>
        <v>33479</v>
      </c>
      <c r="AX53" s="31">
        <f t="shared" si="53"/>
        <v>5490556</v>
      </c>
      <c r="AY53" s="33" t="s">
        <v>185</v>
      </c>
    </row>
    <row r="54" spans="1:51" ht="148.19999999999999" x14ac:dyDescent="0.3">
      <c r="A54" s="5">
        <v>47</v>
      </c>
      <c r="B54" s="80" t="s">
        <v>212</v>
      </c>
      <c r="C54" s="7" t="s">
        <v>210</v>
      </c>
      <c r="D54" s="5" t="s">
        <v>66</v>
      </c>
      <c r="E54" s="8">
        <f>8+156</f>
        <v>164</v>
      </c>
      <c r="F54" s="9"/>
      <c r="G54" s="14">
        <f t="shared" si="39"/>
        <v>0</v>
      </c>
      <c r="H54" s="9"/>
      <c r="I54" s="14">
        <f t="shared" si="40"/>
        <v>0</v>
      </c>
      <c r="J54" s="9"/>
      <c r="K54" s="14">
        <f t="shared" si="41"/>
        <v>0</v>
      </c>
      <c r="L54" s="9"/>
      <c r="M54" s="14">
        <f t="shared" si="42"/>
        <v>0</v>
      </c>
      <c r="N54" s="9">
        <v>33479</v>
      </c>
      <c r="O54" s="14">
        <f t="shared" si="4"/>
        <v>5490556</v>
      </c>
      <c r="P54" s="9"/>
      <c r="Q54" s="14">
        <f t="shared" si="5"/>
        <v>0</v>
      </c>
      <c r="R54" s="9"/>
      <c r="S54" s="14">
        <f t="shared" si="6"/>
        <v>0</v>
      </c>
      <c r="T54" s="9"/>
      <c r="U54" s="14">
        <f t="shared" si="7"/>
        <v>0</v>
      </c>
      <c r="V54" s="9"/>
      <c r="W54" s="14">
        <f t="shared" si="8"/>
        <v>0</v>
      </c>
      <c r="X54" s="9"/>
      <c r="Y54" s="14">
        <f t="shared" si="9"/>
        <v>0</v>
      </c>
      <c r="Z54" s="9"/>
      <c r="AA54" s="14">
        <f t="shared" si="10"/>
        <v>0</v>
      </c>
      <c r="AB54" s="9"/>
      <c r="AC54" s="14">
        <f t="shared" si="11"/>
        <v>0</v>
      </c>
      <c r="AD54" s="31">
        <f t="shared" si="43"/>
        <v>33479</v>
      </c>
      <c r="AE54" s="31">
        <f t="shared" si="44"/>
        <v>33479</v>
      </c>
      <c r="AF54" s="31" t="str">
        <f t="shared" si="45"/>
        <v/>
      </c>
      <c r="AG54" s="32" t="str">
        <f t="shared" si="23"/>
        <v/>
      </c>
      <c r="AH54" s="31" t="str">
        <f t="shared" si="24"/>
        <v/>
      </c>
      <c r="AI54" s="31" t="str">
        <f t="shared" si="25"/>
        <v/>
      </c>
      <c r="AJ54" s="13">
        <f t="shared" si="46"/>
        <v>0</v>
      </c>
      <c r="AK54" s="13">
        <f t="shared" si="47"/>
        <v>0</v>
      </c>
      <c r="AL54" s="13">
        <f t="shared" si="48"/>
        <v>0</v>
      </c>
      <c r="AM54" s="13">
        <f t="shared" si="49"/>
        <v>0</v>
      </c>
      <c r="AN54" s="13" t="str">
        <f t="shared" si="50"/>
        <v/>
      </c>
      <c r="AO54" s="13">
        <f t="shared" si="51"/>
        <v>0</v>
      </c>
      <c r="AP54" s="13">
        <f t="shared" si="52"/>
        <v>0</v>
      </c>
      <c r="AQ54" s="13"/>
      <c r="AR54" s="13"/>
      <c r="AS54" s="29">
        <f t="shared" si="26"/>
        <v>0</v>
      </c>
      <c r="AT54" s="29">
        <f t="shared" si="27"/>
        <v>0</v>
      </c>
      <c r="AU54" s="29">
        <f t="shared" si="28"/>
        <v>0</v>
      </c>
      <c r="AV54" s="30" t="str">
        <f t="shared" si="29"/>
        <v/>
      </c>
      <c r="AW54" s="31">
        <f t="shared" si="80"/>
        <v>33479</v>
      </c>
      <c r="AX54" s="31">
        <f t="shared" si="53"/>
        <v>5490556</v>
      </c>
      <c r="AY54" s="33" t="s">
        <v>185</v>
      </c>
    </row>
    <row r="55" spans="1:51" ht="94.5" customHeight="1" x14ac:dyDescent="0.3">
      <c r="A55" s="5">
        <v>48</v>
      </c>
      <c r="B55" s="6" t="s">
        <v>111</v>
      </c>
      <c r="C55" s="7" t="s">
        <v>112</v>
      </c>
      <c r="D55" s="5" t="s">
        <v>113</v>
      </c>
      <c r="E55" s="8">
        <v>1</v>
      </c>
      <c r="F55" s="9">
        <v>27750</v>
      </c>
      <c r="G55" s="10">
        <f t="shared" si="39"/>
        <v>27750</v>
      </c>
      <c r="H55" s="9">
        <v>26180</v>
      </c>
      <c r="I55" s="10">
        <f t="shared" si="40"/>
        <v>26180</v>
      </c>
      <c r="J55" s="9">
        <v>26500</v>
      </c>
      <c r="K55" s="10">
        <f t="shared" si="41"/>
        <v>26500</v>
      </c>
      <c r="L55" s="9"/>
      <c r="M55" s="10">
        <f t="shared" si="42"/>
        <v>0</v>
      </c>
      <c r="N55" s="9"/>
      <c r="O55" s="10">
        <f t="shared" si="4"/>
        <v>0</v>
      </c>
      <c r="P55" s="9"/>
      <c r="Q55" s="10">
        <f t="shared" si="5"/>
        <v>0</v>
      </c>
      <c r="R55" s="9"/>
      <c r="S55" s="10">
        <f t="shared" si="6"/>
        <v>0</v>
      </c>
      <c r="T55" s="9"/>
      <c r="U55" s="10">
        <f t="shared" si="7"/>
        <v>0</v>
      </c>
      <c r="V55" s="9"/>
      <c r="W55" s="10">
        <f t="shared" si="8"/>
        <v>0</v>
      </c>
      <c r="X55" s="9"/>
      <c r="Y55" s="10">
        <f t="shared" si="9"/>
        <v>0</v>
      </c>
      <c r="Z55" s="9"/>
      <c r="AA55" s="10">
        <f t="shared" si="10"/>
        <v>0</v>
      </c>
      <c r="AB55" s="9"/>
      <c r="AC55" s="10">
        <f t="shared" si="11"/>
        <v>0</v>
      </c>
      <c r="AD55" s="31">
        <f t="shared" si="43"/>
        <v>26500</v>
      </c>
      <c r="AE55" s="31">
        <f t="shared" si="44"/>
        <v>26810</v>
      </c>
      <c r="AF55" s="31">
        <f t="shared" si="45"/>
        <v>829.63847548194144</v>
      </c>
      <c r="AG55" s="32">
        <f t="shared" si="23"/>
        <v>3.0945112849009377E-2</v>
      </c>
      <c r="AH55" s="31">
        <f t="shared" si="24"/>
        <v>27639.638475481941</v>
      </c>
      <c r="AI55" s="31">
        <f t="shared" si="25"/>
        <v>25980.361524518059</v>
      </c>
      <c r="AJ55" s="13" t="str">
        <f t="shared" si="46"/>
        <v/>
      </c>
      <c r="AK55" s="13">
        <f t="shared" si="47"/>
        <v>26180</v>
      </c>
      <c r="AL55" s="13">
        <f t="shared" si="48"/>
        <v>26500</v>
      </c>
      <c r="AM55" s="13" t="str">
        <f t="shared" si="49"/>
        <v/>
      </c>
      <c r="AN55" s="13" t="str">
        <f t="shared" si="50"/>
        <v/>
      </c>
      <c r="AO55" s="13" t="str">
        <f t="shared" si="51"/>
        <v/>
      </c>
      <c r="AP55" s="13" t="str">
        <f t="shared" si="52"/>
        <v/>
      </c>
      <c r="AQ55" s="13"/>
      <c r="AR55" s="13"/>
      <c r="AS55" s="29">
        <f t="shared" si="26"/>
        <v>26340</v>
      </c>
      <c r="AT55" s="29">
        <f t="shared" si="27"/>
        <v>26340</v>
      </c>
      <c r="AU55" s="29">
        <f t="shared" si="28"/>
        <v>226.27416997969522</v>
      </c>
      <c r="AV55" s="30">
        <f t="shared" si="29"/>
        <v>8.5905151852579808E-3</v>
      </c>
      <c r="AW55" s="31">
        <f>+ROUND(+IFERROR(AVERAGEIF(AJ55:AR55,"&lt;&gt;q"),"q"),0)</f>
        <v>26340</v>
      </c>
      <c r="AX55" s="31">
        <f t="shared" si="53"/>
        <v>26340</v>
      </c>
      <c r="AY55" s="34" t="s">
        <v>187</v>
      </c>
    </row>
    <row r="56" spans="1:51" ht="78.75" customHeight="1" x14ac:dyDescent="0.3">
      <c r="A56" s="5">
        <v>49</v>
      </c>
      <c r="B56" s="6" t="s">
        <v>114</v>
      </c>
      <c r="C56" s="7" t="s">
        <v>199</v>
      </c>
      <c r="D56" s="5" t="s">
        <v>43</v>
      </c>
      <c r="E56" s="8">
        <v>35</v>
      </c>
      <c r="F56" s="9">
        <v>2142</v>
      </c>
      <c r="G56" s="10">
        <f t="shared" si="39"/>
        <v>74970</v>
      </c>
      <c r="H56" s="9">
        <v>2261</v>
      </c>
      <c r="I56" s="10">
        <f t="shared" si="40"/>
        <v>79135</v>
      </c>
      <c r="J56" s="9">
        <v>2215</v>
      </c>
      <c r="K56" s="10">
        <f t="shared" si="41"/>
        <v>77525</v>
      </c>
      <c r="L56" s="9"/>
      <c r="M56" s="10">
        <f t="shared" si="42"/>
        <v>0</v>
      </c>
      <c r="N56" s="9"/>
      <c r="O56" s="10">
        <f t="shared" si="4"/>
        <v>0</v>
      </c>
      <c r="P56" s="9"/>
      <c r="Q56" s="10">
        <f t="shared" si="5"/>
        <v>0</v>
      </c>
      <c r="R56" s="9"/>
      <c r="S56" s="10">
        <f t="shared" si="6"/>
        <v>0</v>
      </c>
      <c r="T56" s="9"/>
      <c r="U56" s="10">
        <f t="shared" si="7"/>
        <v>0</v>
      </c>
      <c r="V56" s="9"/>
      <c r="W56" s="10">
        <f t="shared" si="8"/>
        <v>0</v>
      </c>
      <c r="X56" s="9"/>
      <c r="Y56" s="10">
        <f t="shared" si="9"/>
        <v>0</v>
      </c>
      <c r="Z56" s="9"/>
      <c r="AA56" s="10">
        <f t="shared" si="10"/>
        <v>0</v>
      </c>
      <c r="AB56" s="9"/>
      <c r="AC56" s="10">
        <f t="shared" si="11"/>
        <v>0</v>
      </c>
      <c r="AD56" s="31">
        <f t="shared" si="43"/>
        <v>2215</v>
      </c>
      <c r="AE56" s="31">
        <f t="shared" si="44"/>
        <v>2206</v>
      </c>
      <c r="AF56" s="31">
        <f t="shared" si="45"/>
        <v>60.00833275470999</v>
      </c>
      <c r="AG56" s="32">
        <f t="shared" si="23"/>
        <v>2.7202326724709878E-2</v>
      </c>
      <c r="AH56" s="31">
        <f t="shared" si="24"/>
        <v>2266.00833275471</v>
      </c>
      <c r="AI56" s="31">
        <f t="shared" si="25"/>
        <v>2145.99166724529</v>
      </c>
      <c r="AJ56" s="13" t="str">
        <f t="shared" si="46"/>
        <v/>
      </c>
      <c r="AK56" s="13">
        <f t="shared" si="47"/>
        <v>2261</v>
      </c>
      <c r="AL56" s="13">
        <f t="shared" si="48"/>
        <v>2215</v>
      </c>
      <c r="AM56" s="13" t="str">
        <f t="shared" si="49"/>
        <v/>
      </c>
      <c r="AN56" s="13" t="str">
        <f t="shared" si="50"/>
        <v/>
      </c>
      <c r="AO56" s="13" t="str">
        <f t="shared" si="51"/>
        <v/>
      </c>
      <c r="AP56" s="13" t="str">
        <f t="shared" si="52"/>
        <v/>
      </c>
      <c r="AQ56" s="13"/>
      <c r="AR56" s="13"/>
      <c r="AS56" s="29">
        <f t="shared" si="26"/>
        <v>2238</v>
      </c>
      <c r="AT56" s="29">
        <f t="shared" si="27"/>
        <v>2238</v>
      </c>
      <c r="AU56" s="29">
        <f t="shared" si="28"/>
        <v>32.526911934581186</v>
      </c>
      <c r="AV56" s="30">
        <f t="shared" si="29"/>
        <v>1.453391954181465E-2</v>
      </c>
      <c r="AW56" s="31">
        <f>ROUND(AE56,0)</f>
        <v>2206</v>
      </c>
      <c r="AX56" s="31">
        <f t="shared" si="53"/>
        <v>77210</v>
      </c>
      <c r="AY56" s="34" t="s">
        <v>186</v>
      </c>
    </row>
    <row r="57" spans="1:51" ht="84.75" customHeight="1" x14ac:dyDescent="0.3">
      <c r="A57" s="5">
        <v>50</v>
      </c>
      <c r="B57" s="6" t="s">
        <v>115</v>
      </c>
      <c r="C57" s="7" t="s">
        <v>116</v>
      </c>
      <c r="D57" s="5" t="s">
        <v>43</v>
      </c>
      <c r="E57" s="8">
        <v>35</v>
      </c>
      <c r="F57" s="9">
        <v>18280</v>
      </c>
      <c r="G57" s="14">
        <f t="shared" si="39"/>
        <v>639800</v>
      </c>
      <c r="H57" s="9">
        <v>19040</v>
      </c>
      <c r="I57" s="14">
        <f t="shared" si="40"/>
        <v>666400</v>
      </c>
      <c r="J57" s="9">
        <v>17850</v>
      </c>
      <c r="K57" s="14">
        <f t="shared" si="41"/>
        <v>624750</v>
      </c>
      <c r="L57" s="9"/>
      <c r="M57" s="14">
        <f t="shared" si="42"/>
        <v>0</v>
      </c>
      <c r="N57" s="9"/>
      <c r="O57" s="14">
        <f t="shared" si="4"/>
        <v>0</v>
      </c>
      <c r="P57" s="9"/>
      <c r="Q57" s="14">
        <f t="shared" si="5"/>
        <v>0</v>
      </c>
      <c r="R57" s="9"/>
      <c r="S57" s="14">
        <f t="shared" si="6"/>
        <v>0</v>
      </c>
      <c r="T57" s="9"/>
      <c r="U57" s="14">
        <f t="shared" si="7"/>
        <v>0</v>
      </c>
      <c r="V57" s="9"/>
      <c r="W57" s="14">
        <f t="shared" si="8"/>
        <v>0</v>
      </c>
      <c r="X57" s="9"/>
      <c r="Y57" s="14">
        <f t="shared" si="9"/>
        <v>0</v>
      </c>
      <c r="Z57" s="9"/>
      <c r="AA57" s="14">
        <f t="shared" si="10"/>
        <v>0</v>
      </c>
      <c r="AB57" s="9"/>
      <c r="AC57" s="14">
        <f t="shared" si="11"/>
        <v>0</v>
      </c>
      <c r="AD57" s="31">
        <f t="shared" si="43"/>
        <v>18280</v>
      </c>
      <c r="AE57" s="31">
        <f t="shared" si="44"/>
        <v>18390</v>
      </c>
      <c r="AF57" s="31">
        <f t="shared" si="45"/>
        <v>602.57779580731312</v>
      </c>
      <c r="AG57" s="32">
        <f t="shared" si="23"/>
        <v>3.2766601185824529E-2</v>
      </c>
      <c r="AH57" s="31">
        <f t="shared" si="24"/>
        <v>18992.577795807312</v>
      </c>
      <c r="AI57" s="31">
        <f t="shared" si="25"/>
        <v>17787.422204192688</v>
      </c>
      <c r="AJ57" s="13">
        <f t="shared" si="46"/>
        <v>18280</v>
      </c>
      <c r="AK57" s="13" t="str">
        <f t="shared" si="47"/>
        <v/>
      </c>
      <c r="AL57" s="13">
        <f t="shared" si="48"/>
        <v>17850</v>
      </c>
      <c r="AM57" s="13" t="str">
        <f t="shared" si="49"/>
        <v/>
      </c>
      <c r="AN57" s="13" t="str">
        <f t="shared" si="50"/>
        <v/>
      </c>
      <c r="AO57" s="13" t="str">
        <f t="shared" si="51"/>
        <v/>
      </c>
      <c r="AP57" s="13" t="str">
        <f t="shared" si="52"/>
        <v/>
      </c>
      <c r="AQ57" s="13"/>
      <c r="AR57" s="13"/>
      <c r="AS57" s="29">
        <f t="shared" si="26"/>
        <v>18065</v>
      </c>
      <c r="AT57" s="29">
        <f t="shared" si="27"/>
        <v>18065</v>
      </c>
      <c r="AU57" s="29">
        <f t="shared" si="28"/>
        <v>304.05591591021545</v>
      </c>
      <c r="AV57" s="30">
        <f t="shared" si="29"/>
        <v>1.683121593746003E-2</v>
      </c>
      <c r="AW57" s="31">
        <f>+ROUND(+IFERROR(AVERAGEIF(AJ57:AR57,"&lt;&gt;q"),"q"),0)</f>
        <v>18065</v>
      </c>
      <c r="AX57" s="31">
        <f t="shared" si="53"/>
        <v>632275</v>
      </c>
      <c r="AY57" s="34" t="s">
        <v>187</v>
      </c>
    </row>
    <row r="58" spans="1:51" ht="99.75" customHeight="1" x14ac:dyDescent="0.3">
      <c r="A58" s="5">
        <v>51</v>
      </c>
      <c r="B58" s="6" t="s">
        <v>117</v>
      </c>
      <c r="C58" s="7" t="s">
        <v>118</v>
      </c>
      <c r="D58" s="5" t="s">
        <v>119</v>
      </c>
      <c r="E58" s="8">
        <v>2</v>
      </c>
      <c r="F58" s="9">
        <v>9730</v>
      </c>
      <c r="G58" s="10">
        <f t="shared" si="39"/>
        <v>19460</v>
      </c>
      <c r="H58" s="9">
        <v>9520</v>
      </c>
      <c r="I58" s="10">
        <f t="shared" si="40"/>
        <v>19040</v>
      </c>
      <c r="J58" s="9">
        <v>9820</v>
      </c>
      <c r="K58" s="10">
        <f t="shared" si="41"/>
        <v>19640</v>
      </c>
      <c r="L58" s="9"/>
      <c r="M58" s="10">
        <f t="shared" si="42"/>
        <v>0</v>
      </c>
      <c r="N58" s="9"/>
      <c r="O58" s="10">
        <f t="shared" si="4"/>
        <v>0</v>
      </c>
      <c r="P58" s="9"/>
      <c r="Q58" s="10">
        <f t="shared" si="5"/>
        <v>0</v>
      </c>
      <c r="R58" s="9"/>
      <c r="S58" s="10">
        <f t="shared" si="6"/>
        <v>0</v>
      </c>
      <c r="T58" s="9"/>
      <c r="U58" s="10">
        <f t="shared" si="7"/>
        <v>0</v>
      </c>
      <c r="V58" s="9"/>
      <c r="W58" s="10">
        <f t="shared" si="8"/>
        <v>0</v>
      </c>
      <c r="X58" s="9"/>
      <c r="Y58" s="10">
        <f t="shared" si="9"/>
        <v>0</v>
      </c>
      <c r="Z58" s="9"/>
      <c r="AA58" s="10">
        <f t="shared" si="10"/>
        <v>0</v>
      </c>
      <c r="AB58" s="9"/>
      <c r="AC58" s="10">
        <f t="shared" si="11"/>
        <v>0</v>
      </c>
      <c r="AD58" s="31">
        <f t="shared" si="43"/>
        <v>9730</v>
      </c>
      <c r="AE58" s="31">
        <f t="shared" si="44"/>
        <v>9690</v>
      </c>
      <c r="AF58" s="31">
        <f t="shared" si="45"/>
        <v>153.94804318340653</v>
      </c>
      <c r="AG58" s="32">
        <f t="shared" si="23"/>
        <v>1.5887310958039889E-2</v>
      </c>
      <c r="AH58" s="31">
        <f t="shared" si="24"/>
        <v>9843.9480431834072</v>
      </c>
      <c r="AI58" s="31">
        <f t="shared" si="25"/>
        <v>9536.0519568165928</v>
      </c>
      <c r="AJ58" s="13">
        <f t="shared" si="46"/>
        <v>9730</v>
      </c>
      <c r="AK58" s="13" t="str">
        <f t="shared" si="47"/>
        <v/>
      </c>
      <c r="AL58" s="13">
        <f t="shared" si="48"/>
        <v>9820</v>
      </c>
      <c r="AM58" s="13" t="str">
        <f t="shared" si="49"/>
        <v/>
      </c>
      <c r="AN58" s="13" t="str">
        <f t="shared" si="50"/>
        <v/>
      </c>
      <c r="AO58" s="13" t="str">
        <f t="shared" si="51"/>
        <v/>
      </c>
      <c r="AP58" s="13" t="str">
        <f t="shared" si="52"/>
        <v/>
      </c>
      <c r="AQ58" s="13"/>
      <c r="AR58" s="13"/>
      <c r="AS58" s="29">
        <f t="shared" si="26"/>
        <v>9775</v>
      </c>
      <c r="AT58" s="29">
        <f t="shared" si="27"/>
        <v>9775</v>
      </c>
      <c r="AU58" s="29">
        <f t="shared" si="28"/>
        <v>63.63961030678928</v>
      </c>
      <c r="AV58" s="30">
        <f t="shared" si="29"/>
        <v>6.5104460671907187E-3</v>
      </c>
      <c r="AW58" s="31">
        <f t="shared" ref="AW58:AW61" si="81">ROUND(AE58,0)</f>
        <v>9690</v>
      </c>
      <c r="AX58" s="31">
        <f t="shared" si="53"/>
        <v>19380</v>
      </c>
      <c r="AY58" s="34" t="s">
        <v>186</v>
      </c>
    </row>
    <row r="59" spans="1:51" ht="99.75" customHeight="1" x14ac:dyDescent="0.3">
      <c r="A59" s="5">
        <v>52</v>
      </c>
      <c r="B59" s="6" t="s">
        <v>120</v>
      </c>
      <c r="C59" s="7" t="s">
        <v>121</v>
      </c>
      <c r="D59" s="5" t="s">
        <v>43</v>
      </c>
      <c r="E59" s="8">
        <v>6</v>
      </c>
      <c r="F59" s="9">
        <v>8140</v>
      </c>
      <c r="G59" s="14">
        <f t="shared" si="39"/>
        <v>48840</v>
      </c>
      <c r="H59" s="9">
        <v>9520</v>
      </c>
      <c r="I59" s="14">
        <f t="shared" si="40"/>
        <v>57120</v>
      </c>
      <c r="J59" s="9">
        <v>9280</v>
      </c>
      <c r="K59" s="14">
        <f t="shared" si="41"/>
        <v>55680</v>
      </c>
      <c r="L59" s="9"/>
      <c r="M59" s="14">
        <f t="shared" si="42"/>
        <v>0</v>
      </c>
      <c r="N59" s="9"/>
      <c r="O59" s="14">
        <f t="shared" si="4"/>
        <v>0</v>
      </c>
      <c r="P59" s="9"/>
      <c r="Q59" s="14">
        <f t="shared" si="5"/>
        <v>0</v>
      </c>
      <c r="R59" s="9"/>
      <c r="S59" s="14">
        <f t="shared" si="6"/>
        <v>0</v>
      </c>
      <c r="T59" s="9"/>
      <c r="U59" s="14">
        <f t="shared" si="7"/>
        <v>0</v>
      </c>
      <c r="V59" s="9"/>
      <c r="W59" s="14">
        <f t="shared" si="8"/>
        <v>0</v>
      </c>
      <c r="X59" s="9"/>
      <c r="Y59" s="14">
        <f t="shared" si="9"/>
        <v>0</v>
      </c>
      <c r="Z59" s="9"/>
      <c r="AA59" s="14">
        <f t="shared" si="10"/>
        <v>0</v>
      </c>
      <c r="AB59" s="9"/>
      <c r="AC59" s="14">
        <f t="shared" si="11"/>
        <v>0</v>
      </c>
      <c r="AD59" s="31">
        <f t="shared" si="43"/>
        <v>9280</v>
      </c>
      <c r="AE59" s="31">
        <f t="shared" si="44"/>
        <v>8980</v>
      </c>
      <c r="AF59" s="31">
        <f t="shared" si="45"/>
        <v>737.29234364667047</v>
      </c>
      <c r="AG59" s="32">
        <f t="shared" si="23"/>
        <v>8.2103824459540148E-2</v>
      </c>
      <c r="AH59" s="31">
        <f t="shared" si="24"/>
        <v>9717.2923436466699</v>
      </c>
      <c r="AI59" s="31">
        <f t="shared" si="25"/>
        <v>8242.7076563533301</v>
      </c>
      <c r="AJ59" s="13" t="str">
        <f t="shared" si="46"/>
        <v/>
      </c>
      <c r="AK59" s="13">
        <f t="shared" si="47"/>
        <v>9520</v>
      </c>
      <c r="AL59" s="13">
        <f t="shared" si="48"/>
        <v>9280</v>
      </c>
      <c r="AM59" s="13" t="str">
        <f t="shared" si="49"/>
        <v/>
      </c>
      <c r="AN59" s="13" t="str">
        <f t="shared" si="50"/>
        <v/>
      </c>
      <c r="AO59" s="13" t="str">
        <f t="shared" si="51"/>
        <v/>
      </c>
      <c r="AP59" s="13" t="str">
        <f t="shared" si="52"/>
        <v/>
      </c>
      <c r="AQ59" s="13"/>
      <c r="AR59" s="13"/>
      <c r="AS59" s="29">
        <f t="shared" si="26"/>
        <v>9400</v>
      </c>
      <c r="AT59" s="29">
        <f t="shared" si="27"/>
        <v>9400</v>
      </c>
      <c r="AU59" s="29">
        <f t="shared" si="28"/>
        <v>169.70562748477141</v>
      </c>
      <c r="AV59" s="30">
        <f t="shared" si="29"/>
        <v>1.8053790157954407E-2</v>
      </c>
      <c r="AW59" s="31">
        <f t="shared" si="81"/>
        <v>8980</v>
      </c>
      <c r="AX59" s="31">
        <f t="shared" si="53"/>
        <v>53880</v>
      </c>
      <c r="AY59" s="34" t="s">
        <v>186</v>
      </c>
    </row>
    <row r="60" spans="1:51" ht="85.8" customHeight="1" x14ac:dyDescent="0.3">
      <c r="A60" s="5">
        <v>53</v>
      </c>
      <c r="B60" s="6" t="s">
        <v>122</v>
      </c>
      <c r="C60" s="7" t="s">
        <v>123</v>
      </c>
      <c r="D60" s="5" t="s">
        <v>43</v>
      </c>
      <c r="E60" s="8">
        <v>35</v>
      </c>
      <c r="F60" s="9">
        <v>8806</v>
      </c>
      <c r="G60" s="14">
        <f t="shared" si="39"/>
        <v>308210</v>
      </c>
      <c r="H60" s="9">
        <v>8140</v>
      </c>
      <c r="I60" s="14">
        <f t="shared" si="40"/>
        <v>284900</v>
      </c>
      <c r="J60" s="9">
        <v>8710</v>
      </c>
      <c r="K60" s="14">
        <f t="shared" si="41"/>
        <v>304850</v>
      </c>
      <c r="L60" s="9"/>
      <c r="M60" s="14">
        <f t="shared" si="42"/>
        <v>0</v>
      </c>
      <c r="N60" s="9"/>
      <c r="O60" s="14">
        <f t="shared" si="4"/>
        <v>0</v>
      </c>
      <c r="P60" s="9"/>
      <c r="Q60" s="14">
        <f t="shared" si="5"/>
        <v>0</v>
      </c>
      <c r="R60" s="9"/>
      <c r="S60" s="14">
        <f t="shared" si="6"/>
        <v>0</v>
      </c>
      <c r="T60" s="9"/>
      <c r="U60" s="14">
        <f t="shared" si="7"/>
        <v>0</v>
      </c>
      <c r="V60" s="9"/>
      <c r="W60" s="14">
        <f t="shared" si="8"/>
        <v>0</v>
      </c>
      <c r="X60" s="9"/>
      <c r="Y60" s="14">
        <f t="shared" si="9"/>
        <v>0</v>
      </c>
      <c r="Z60" s="9"/>
      <c r="AA60" s="14">
        <f t="shared" si="10"/>
        <v>0</v>
      </c>
      <c r="AB60" s="9"/>
      <c r="AC60" s="14">
        <f t="shared" si="11"/>
        <v>0</v>
      </c>
      <c r="AD60" s="31">
        <f t="shared" si="43"/>
        <v>8710</v>
      </c>
      <c r="AE60" s="31">
        <f t="shared" si="44"/>
        <v>8552</v>
      </c>
      <c r="AF60" s="31">
        <f t="shared" si="45"/>
        <v>360.01666628088208</v>
      </c>
      <c r="AG60" s="32">
        <f t="shared" si="23"/>
        <v>4.209736509364851E-2</v>
      </c>
      <c r="AH60" s="31">
        <f t="shared" si="24"/>
        <v>8912.0166662808824</v>
      </c>
      <c r="AI60" s="31">
        <f t="shared" si="25"/>
        <v>8191.9833337191176</v>
      </c>
      <c r="AJ60" s="13">
        <f t="shared" si="46"/>
        <v>8806</v>
      </c>
      <c r="AK60" s="13" t="str">
        <f t="shared" si="47"/>
        <v/>
      </c>
      <c r="AL60" s="13">
        <f t="shared" si="48"/>
        <v>8710</v>
      </c>
      <c r="AM60" s="13" t="str">
        <f t="shared" si="49"/>
        <v/>
      </c>
      <c r="AN60" s="13" t="str">
        <f t="shared" si="50"/>
        <v/>
      </c>
      <c r="AO60" s="13" t="str">
        <f t="shared" si="51"/>
        <v/>
      </c>
      <c r="AP60" s="13" t="str">
        <f t="shared" si="52"/>
        <v/>
      </c>
      <c r="AQ60" s="13"/>
      <c r="AR60" s="13"/>
      <c r="AS60" s="29">
        <f t="shared" si="26"/>
        <v>8758</v>
      </c>
      <c r="AT60" s="29">
        <f t="shared" si="27"/>
        <v>8758</v>
      </c>
      <c r="AU60" s="29">
        <f t="shared" si="28"/>
        <v>67.882250993908556</v>
      </c>
      <c r="AV60" s="30">
        <f t="shared" si="29"/>
        <v>7.7508850187152957E-3</v>
      </c>
      <c r="AW60" s="31">
        <f t="shared" si="81"/>
        <v>8552</v>
      </c>
      <c r="AX60" s="31">
        <f t="shared" si="53"/>
        <v>299320</v>
      </c>
      <c r="AY60" s="34" t="s">
        <v>186</v>
      </c>
    </row>
    <row r="61" spans="1:51" ht="48.6" customHeight="1" x14ac:dyDescent="0.3">
      <c r="A61" s="5">
        <v>54</v>
      </c>
      <c r="B61" s="6" t="s">
        <v>124</v>
      </c>
      <c r="C61" s="7" t="s">
        <v>125</v>
      </c>
      <c r="D61" s="5" t="s">
        <v>43</v>
      </c>
      <c r="E61" s="8">
        <v>35</v>
      </c>
      <c r="F61" s="9">
        <v>5355</v>
      </c>
      <c r="G61" s="10">
        <f t="shared" si="39"/>
        <v>187425</v>
      </c>
      <c r="H61" s="9">
        <v>5712</v>
      </c>
      <c r="I61" s="10">
        <f t="shared" si="40"/>
        <v>199920</v>
      </c>
      <c r="J61" s="9">
        <v>5712</v>
      </c>
      <c r="K61" s="10">
        <f t="shared" si="41"/>
        <v>199920</v>
      </c>
      <c r="L61" s="9"/>
      <c r="M61" s="10">
        <f t="shared" si="42"/>
        <v>0</v>
      </c>
      <c r="N61" s="9"/>
      <c r="O61" s="10">
        <f t="shared" si="4"/>
        <v>0</v>
      </c>
      <c r="P61" s="9"/>
      <c r="Q61" s="10">
        <f t="shared" si="5"/>
        <v>0</v>
      </c>
      <c r="R61" s="9"/>
      <c r="S61" s="10">
        <f t="shared" si="6"/>
        <v>0</v>
      </c>
      <c r="T61" s="9"/>
      <c r="U61" s="10">
        <f t="shared" si="7"/>
        <v>0</v>
      </c>
      <c r="V61" s="9"/>
      <c r="W61" s="10">
        <f t="shared" si="8"/>
        <v>0</v>
      </c>
      <c r="X61" s="9"/>
      <c r="Y61" s="10">
        <f t="shared" si="9"/>
        <v>0</v>
      </c>
      <c r="Z61" s="9"/>
      <c r="AA61" s="10">
        <f t="shared" si="10"/>
        <v>0</v>
      </c>
      <c r="AB61" s="9"/>
      <c r="AC61" s="10">
        <f t="shared" si="11"/>
        <v>0</v>
      </c>
      <c r="AD61" s="31">
        <f t="shared" si="43"/>
        <v>5712</v>
      </c>
      <c r="AE61" s="31">
        <f t="shared" si="44"/>
        <v>5593</v>
      </c>
      <c r="AF61" s="31">
        <f t="shared" si="45"/>
        <v>206.11404610069638</v>
      </c>
      <c r="AG61" s="32">
        <f t="shared" si="23"/>
        <v>3.6852144841891005E-2</v>
      </c>
      <c r="AH61" s="31">
        <f t="shared" si="24"/>
        <v>5799.1140461006962</v>
      </c>
      <c r="AI61" s="31">
        <f t="shared" si="25"/>
        <v>5386.8859538993038</v>
      </c>
      <c r="AJ61" s="13" t="str">
        <f t="shared" si="46"/>
        <v/>
      </c>
      <c r="AK61" s="13">
        <f t="shared" si="47"/>
        <v>5712</v>
      </c>
      <c r="AL61" s="13">
        <f t="shared" si="48"/>
        <v>5712</v>
      </c>
      <c r="AM61" s="13" t="str">
        <f t="shared" si="49"/>
        <v/>
      </c>
      <c r="AN61" s="13" t="str">
        <f t="shared" si="50"/>
        <v/>
      </c>
      <c r="AO61" s="13" t="str">
        <f t="shared" si="51"/>
        <v/>
      </c>
      <c r="AP61" s="13" t="str">
        <f t="shared" si="52"/>
        <v/>
      </c>
      <c r="AQ61" s="13"/>
      <c r="AR61" s="13"/>
      <c r="AS61" s="29">
        <f t="shared" si="26"/>
        <v>5712</v>
      </c>
      <c r="AT61" s="29">
        <f t="shared" si="27"/>
        <v>5712</v>
      </c>
      <c r="AU61" s="29">
        <f t="shared" si="28"/>
        <v>0</v>
      </c>
      <c r="AV61" s="30">
        <f t="shared" si="29"/>
        <v>0</v>
      </c>
      <c r="AW61" s="31">
        <f t="shared" si="81"/>
        <v>5593</v>
      </c>
      <c r="AX61" s="31">
        <f t="shared" si="53"/>
        <v>195755</v>
      </c>
      <c r="AY61" s="34" t="s">
        <v>186</v>
      </c>
    </row>
    <row r="62" spans="1:51" ht="87" customHeight="1" x14ac:dyDescent="0.3">
      <c r="A62" s="5">
        <v>55</v>
      </c>
      <c r="B62" s="6" t="s">
        <v>126</v>
      </c>
      <c r="C62" s="7" t="s">
        <v>200</v>
      </c>
      <c r="D62" s="5" t="s">
        <v>43</v>
      </c>
      <c r="E62" s="8">
        <v>15</v>
      </c>
      <c r="F62" s="9">
        <v>4084</v>
      </c>
      <c r="G62" s="14">
        <f t="shared" si="39"/>
        <v>61260</v>
      </c>
      <c r="H62" s="9">
        <v>4046</v>
      </c>
      <c r="I62" s="14">
        <f t="shared" si="40"/>
        <v>60690</v>
      </c>
      <c r="J62" s="9">
        <v>4050</v>
      </c>
      <c r="K62" s="10">
        <f t="shared" si="41"/>
        <v>60750</v>
      </c>
      <c r="L62" s="9"/>
      <c r="M62" s="14">
        <f t="shared" si="42"/>
        <v>0</v>
      </c>
      <c r="N62" s="9"/>
      <c r="O62" s="14">
        <f t="shared" si="4"/>
        <v>0</v>
      </c>
      <c r="P62" s="9"/>
      <c r="Q62" s="14">
        <f t="shared" si="5"/>
        <v>0</v>
      </c>
      <c r="R62" s="9"/>
      <c r="S62" s="14">
        <f t="shared" si="6"/>
        <v>0</v>
      </c>
      <c r="T62" s="9"/>
      <c r="U62" s="14">
        <f t="shared" si="7"/>
        <v>0</v>
      </c>
      <c r="V62" s="9"/>
      <c r="W62" s="14">
        <f t="shared" si="8"/>
        <v>0</v>
      </c>
      <c r="X62" s="9"/>
      <c r="Y62" s="14">
        <f t="shared" si="9"/>
        <v>0</v>
      </c>
      <c r="Z62" s="9"/>
      <c r="AA62" s="14">
        <f t="shared" si="10"/>
        <v>0</v>
      </c>
      <c r="AB62" s="9"/>
      <c r="AC62" s="14">
        <f t="shared" si="11"/>
        <v>0</v>
      </c>
      <c r="AD62" s="31">
        <f t="shared" si="43"/>
        <v>4050</v>
      </c>
      <c r="AE62" s="31">
        <f t="shared" si="44"/>
        <v>4060</v>
      </c>
      <c r="AF62" s="31">
        <f t="shared" si="45"/>
        <v>20.880613017821101</v>
      </c>
      <c r="AG62" s="32">
        <f t="shared" si="23"/>
        <v>5.1430081324682518E-3</v>
      </c>
      <c r="AH62" s="31">
        <f t="shared" si="24"/>
        <v>4080.8806130178209</v>
      </c>
      <c r="AI62" s="31">
        <f t="shared" si="25"/>
        <v>4039.1193869821791</v>
      </c>
      <c r="AJ62" s="13" t="str">
        <f t="shared" si="46"/>
        <v/>
      </c>
      <c r="AK62" s="13">
        <f t="shared" si="47"/>
        <v>4046</v>
      </c>
      <c r="AL62" s="13">
        <f t="shared" si="48"/>
        <v>4050</v>
      </c>
      <c r="AM62" s="13" t="str">
        <f t="shared" si="49"/>
        <v/>
      </c>
      <c r="AN62" s="13" t="str">
        <f t="shared" si="50"/>
        <v/>
      </c>
      <c r="AO62" s="13" t="str">
        <f t="shared" si="51"/>
        <v/>
      </c>
      <c r="AP62" s="13" t="str">
        <f t="shared" si="52"/>
        <v/>
      </c>
      <c r="AQ62" s="13"/>
      <c r="AR62" s="13"/>
      <c r="AS62" s="29">
        <f t="shared" si="26"/>
        <v>4048</v>
      </c>
      <c r="AT62" s="29">
        <f t="shared" si="27"/>
        <v>4048</v>
      </c>
      <c r="AU62" s="29">
        <f t="shared" si="28"/>
        <v>2.8284271247461903</v>
      </c>
      <c r="AV62" s="30">
        <f t="shared" si="29"/>
        <v>6.987221157969838E-4</v>
      </c>
      <c r="AW62" s="31">
        <f t="shared" ref="AW62:AW64" si="82">+ROUND(+IFERROR(AVERAGEIF(AJ62:AR62,"&lt;&gt;q"),"q"),0)</f>
        <v>4048</v>
      </c>
      <c r="AX62" s="31">
        <f t="shared" si="53"/>
        <v>60720</v>
      </c>
      <c r="AY62" s="34" t="s">
        <v>187</v>
      </c>
    </row>
    <row r="63" spans="1:51" ht="118.2" customHeight="1" x14ac:dyDescent="0.3">
      <c r="A63" s="5">
        <v>56</v>
      </c>
      <c r="B63" s="6" t="s">
        <v>127</v>
      </c>
      <c r="C63" s="7" t="s">
        <v>128</v>
      </c>
      <c r="D63" s="5" t="s">
        <v>43</v>
      </c>
      <c r="E63" s="8">
        <v>35</v>
      </c>
      <c r="F63" s="9">
        <v>4165</v>
      </c>
      <c r="G63" s="10">
        <f t="shared" si="39"/>
        <v>145775</v>
      </c>
      <c r="H63" s="9">
        <v>4046</v>
      </c>
      <c r="I63" s="10">
        <f t="shared" si="40"/>
        <v>141610</v>
      </c>
      <c r="J63" s="9">
        <v>4090</v>
      </c>
      <c r="K63" s="10">
        <f t="shared" si="41"/>
        <v>143150</v>
      </c>
      <c r="L63" s="9"/>
      <c r="M63" s="10">
        <f t="shared" si="42"/>
        <v>0</v>
      </c>
      <c r="N63" s="9"/>
      <c r="O63" s="10">
        <f t="shared" si="4"/>
        <v>0</v>
      </c>
      <c r="P63" s="9"/>
      <c r="Q63" s="10">
        <f t="shared" si="5"/>
        <v>0</v>
      </c>
      <c r="R63" s="9"/>
      <c r="S63" s="10">
        <f t="shared" si="6"/>
        <v>0</v>
      </c>
      <c r="T63" s="9"/>
      <c r="U63" s="10">
        <f t="shared" si="7"/>
        <v>0</v>
      </c>
      <c r="V63" s="9"/>
      <c r="W63" s="10">
        <f t="shared" si="8"/>
        <v>0</v>
      </c>
      <c r="X63" s="9"/>
      <c r="Y63" s="10">
        <f t="shared" si="9"/>
        <v>0</v>
      </c>
      <c r="Z63" s="9"/>
      <c r="AA63" s="10">
        <f t="shared" si="10"/>
        <v>0</v>
      </c>
      <c r="AB63" s="9"/>
      <c r="AC63" s="10">
        <f t="shared" si="11"/>
        <v>0</v>
      </c>
      <c r="AD63" s="31">
        <f t="shared" si="43"/>
        <v>4090</v>
      </c>
      <c r="AE63" s="31">
        <f t="shared" si="44"/>
        <v>4100.333333333333</v>
      </c>
      <c r="AF63" s="31">
        <f t="shared" si="45"/>
        <v>60.169205855930443</v>
      </c>
      <c r="AG63" s="32">
        <f t="shared" si="23"/>
        <v>1.4674223036158958E-2</v>
      </c>
      <c r="AH63" s="31">
        <f t="shared" si="24"/>
        <v>4160.5025391892632</v>
      </c>
      <c r="AI63" s="31">
        <f t="shared" si="25"/>
        <v>4040.1641274774024</v>
      </c>
      <c r="AJ63" s="13" t="str">
        <f t="shared" si="46"/>
        <v/>
      </c>
      <c r="AK63" s="13">
        <f t="shared" si="47"/>
        <v>4046</v>
      </c>
      <c r="AL63" s="13">
        <f t="shared" si="48"/>
        <v>4090</v>
      </c>
      <c r="AM63" s="13" t="str">
        <f t="shared" si="49"/>
        <v/>
      </c>
      <c r="AN63" s="13" t="str">
        <f t="shared" si="50"/>
        <v/>
      </c>
      <c r="AO63" s="13" t="str">
        <f t="shared" si="51"/>
        <v/>
      </c>
      <c r="AP63" s="13" t="str">
        <f t="shared" si="52"/>
        <v/>
      </c>
      <c r="AQ63" s="13"/>
      <c r="AR63" s="13"/>
      <c r="AS63" s="29">
        <f t="shared" si="26"/>
        <v>4068</v>
      </c>
      <c r="AT63" s="29">
        <f t="shared" si="27"/>
        <v>4068</v>
      </c>
      <c r="AU63" s="29">
        <f t="shared" si="28"/>
        <v>31.11269837220809</v>
      </c>
      <c r="AV63" s="30">
        <f t="shared" si="29"/>
        <v>7.6481559420373867E-3</v>
      </c>
      <c r="AW63" s="31">
        <f t="shared" si="82"/>
        <v>4068</v>
      </c>
      <c r="AX63" s="31">
        <f t="shared" si="53"/>
        <v>142380</v>
      </c>
      <c r="AY63" s="34" t="s">
        <v>187</v>
      </c>
    </row>
    <row r="64" spans="1:51" ht="66.75" customHeight="1" x14ac:dyDescent="0.3">
      <c r="A64" s="5">
        <v>57</v>
      </c>
      <c r="B64" s="6" t="s">
        <v>129</v>
      </c>
      <c r="C64" s="7" t="s">
        <v>130</v>
      </c>
      <c r="D64" s="5" t="s">
        <v>43</v>
      </c>
      <c r="E64" s="8">
        <v>35</v>
      </c>
      <c r="F64" s="9">
        <v>43435</v>
      </c>
      <c r="G64" s="14">
        <f t="shared" si="39"/>
        <v>1520225</v>
      </c>
      <c r="H64" s="9">
        <v>45220</v>
      </c>
      <c r="I64" s="14">
        <f t="shared" si="40"/>
        <v>1582700</v>
      </c>
      <c r="J64" s="9">
        <v>44250</v>
      </c>
      <c r="K64" s="14">
        <f t="shared" si="41"/>
        <v>1548750</v>
      </c>
      <c r="L64" s="9"/>
      <c r="M64" s="14">
        <f t="shared" si="42"/>
        <v>0</v>
      </c>
      <c r="N64" s="9"/>
      <c r="O64" s="14">
        <f t="shared" si="4"/>
        <v>0</v>
      </c>
      <c r="P64" s="9"/>
      <c r="Q64" s="14">
        <f t="shared" si="5"/>
        <v>0</v>
      </c>
      <c r="R64" s="9"/>
      <c r="S64" s="14">
        <f t="shared" si="6"/>
        <v>0</v>
      </c>
      <c r="T64" s="9"/>
      <c r="U64" s="14">
        <f t="shared" si="7"/>
        <v>0</v>
      </c>
      <c r="V64" s="9"/>
      <c r="W64" s="14">
        <f t="shared" si="8"/>
        <v>0</v>
      </c>
      <c r="X64" s="9"/>
      <c r="Y64" s="14">
        <f t="shared" si="9"/>
        <v>0</v>
      </c>
      <c r="Z64" s="9"/>
      <c r="AA64" s="14">
        <f t="shared" si="10"/>
        <v>0</v>
      </c>
      <c r="AB64" s="9"/>
      <c r="AC64" s="14">
        <f t="shared" si="11"/>
        <v>0</v>
      </c>
      <c r="AD64" s="31">
        <f t="shared" si="43"/>
        <v>44250</v>
      </c>
      <c r="AE64" s="31">
        <f t="shared" si="44"/>
        <v>44301.666666666664</v>
      </c>
      <c r="AF64" s="31">
        <f t="shared" si="45"/>
        <v>893.62091142348129</v>
      </c>
      <c r="AG64" s="32">
        <f t="shared" si="23"/>
        <v>2.0171270714197689E-2</v>
      </c>
      <c r="AH64" s="31">
        <f t="shared" si="24"/>
        <v>45195.287578090145</v>
      </c>
      <c r="AI64" s="31">
        <f t="shared" si="25"/>
        <v>43408.045755243184</v>
      </c>
      <c r="AJ64" s="13">
        <f t="shared" si="46"/>
        <v>43435</v>
      </c>
      <c r="AK64" s="13" t="str">
        <f t="shared" si="47"/>
        <v/>
      </c>
      <c r="AL64" s="13">
        <f t="shared" si="48"/>
        <v>44250</v>
      </c>
      <c r="AM64" s="13" t="str">
        <f t="shared" si="49"/>
        <v/>
      </c>
      <c r="AN64" s="13" t="str">
        <f t="shared" si="50"/>
        <v/>
      </c>
      <c r="AO64" s="13" t="str">
        <f t="shared" si="51"/>
        <v/>
      </c>
      <c r="AP64" s="13" t="str">
        <f t="shared" si="52"/>
        <v/>
      </c>
      <c r="AQ64" s="13"/>
      <c r="AR64" s="13"/>
      <c r="AS64" s="29">
        <f t="shared" si="26"/>
        <v>43842.5</v>
      </c>
      <c r="AT64" s="29">
        <f t="shared" si="27"/>
        <v>43842.5</v>
      </c>
      <c r="AU64" s="29">
        <f t="shared" si="28"/>
        <v>576.29202666703623</v>
      </c>
      <c r="AV64" s="30">
        <f t="shared" si="29"/>
        <v>1.3144597745727005E-2</v>
      </c>
      <c r="AW64" s="31">
        <f t="shared" si="82"/>
        <v>43843</v>
      </c>
      <c r="AX64" s="31">
        <f t="shared" si="53"/>
        <v>1534505</v>
      </c>
      <c r="AY64" s="34" t="s">
        <v>187</v>
      </c>
    </row>
    <row r="65" spans="1:51" ht="99.75" customHeight="1" x14ac:dyDescent="0.3">
      <c r="A65" s="5">
        <v>58</v>
      </c>
      <c r="B65" s="6" t="s">
        <v>131</v>
      </c>
      <c r="C65" s="7" t="s">
        <v>132</v>
      </c>
      <c r="D65" s="5" t="s">
        <v>113</v>
      </c>
      <c r="E65" s="8">
        <v>1</v>
      </c>
      <c r="F65" s="9">
        <v>9730</v>
      </c>
      <c r="G65" s="14">
        <f t="shared" si="39"/>
        <v>9730</v>
      </c>
      <c r="H65" s="9">
        <v>9520</v>
      </c>
      <c r="I65" s="14">
        <f t="shared" si="40"/>
        <v>9520</v>
      </c>
      <c r="J65" s="9">
        <v>9820</v>
      </c>
      <c r="K65" s="14">
        <f t="shared" si="41"/>
        <v>9820</v>
      </c>
      <c r="L65" s="9"/>
      <c r="M65" s="14">
        <f t="shared" si="42"/>
        <v>0</v>
      </c>
      <c r="N65" s="9"/>
      <c r="O65" s="14">
        <f t="shared" si="4"/>
        <v>0</v>
      </c>
      <c r="P65" s="9"/>
      <c r="Q65" s="14">
        <f t="shared" si="5"/>
        <v>0</v>
      </c>
      <c r="R65" s="9"/>
      <c r="S65" s="14">
        <f t="shared" si="6"/>
        <v>0</v>
      </c>
      <c r="T65" s="9"/>
      <c r="U65" s="14">
        <f t="shared" si="7"/>
        <v>0</v>
      </c>
      <c r="V65" s="9"/>
      <c r="W65" s="14">
        <f t="shared" si="8"/>
        <v>0</v>
      </c>
      <c r="X65" s="9"/>
      <c r="Y65" s="14">
        <f t="shared" si="9"/>
        <v>0</v>
      </c>
      <c r="Z65" s="9"/>
      <c r="AA65" s="14">
        <f t="shared" si="10"/>
        <v>0</v>
      </c>
      <c r="AB65" s="9"/>
      <c r="AC65" s="14">
        <f t="shared" si="11"/>
        <v>0</v>
      </c>
      <c r="AD65" s="31">
        <f t="shared" si="43"/>
        <v>9730</v>
      </c>
      <c r="AE65" s="31">
        <f t="shared" si="44"/>
        <v>9690</v>
      </c>
      <c r="AF65" s="31">
        <f t="shared" si="45"/>
        <v>153.94804318340653</v>
      </c>
      <c r="AG65" s="32">
        <f t="shared" si="23"/>
        <v>1.5887310958039889E-2</v>
      </c>
      <c r="AH65" s="31">
        <f t="shared" si="24"/>
        <v>9843.9480431834072</v>
      </c>
      <c r="AI65" s="31">
        <f t="shared" si="25"/>
        <v>9536.0519568165928</v>
      </c>
      <c r="AJ65" s="13">
        <f t="shared" si="46"/>
        <v>9730</v>
      </c>
      <c r="AK65" s="13" t="str">
        <f t="shared" si="47"/>
        <v/>
      </c>
      <c r="AL65" s="13">
        <f t="shared" si="48"/>
        <v>9820</v>
      </c>
      <c r="AM65" s="13" t="str">
        <f t="shared" si="49"/>
        <v/>
      </c>
      <c r="AN65" s="13" t="str">
        <f t="shared" si="50"/>
        <v/>
      </c>
      <c r="AO65" s="13" t="str">
        <f t="shared" si="51"/>
        <v/>
      </c>
      <c r="AP65" s="13" t="str">
        <f t="shared" si="52"/>
        <v/>
      </c>
      <c r="AQ65" s="13"/>
      <c r="AR65" s="13"/>
      <c r="AS65" s="29">
        <f t="shared" si="26"/>
        <v>9775</v>
      </c>
      <c r="AT65" s="29">
        <f t="shared" si="27"/>
        <v>9775</v>
      </c>
      <c r="AU65" s="29">
        <f t="shared" si="28"/>
        <v>63.63961030678928</v>
      </c>
      <c r="AV65" s="30">
        <f t="shared" si="29"/>
        <v>6.5104460671907187E-3</v>
      </c>
      <c r="AW65" s="31">
        <f t="shared" ref="AW65:AW66" si="83">ROUND(AE65,0)</f>
        <v>9690</v>
      </c>
      <c r="AX65" s="31">
        <f t="shared" si="53"/>
        <v>9690</v>
      </c>
      <c r="AY65" s="34" t="s">
        <v>186</v>
      </c>
    </row>
    <row r="66" spans="1:51" ht="76.5" customHeight="1" x14ac:dyDescent="0.3">
      <c r="A66" s="5">
        <v>59</v>
      </c>
      <c r="B66" s="6" t="s">
        <v>133</v>
      </c>
      <c r="C66" s="7" t="s">
        <v>134</v>
      </c>
      <c r="D66" s="5" t="s">
        <v>135</v>
      </c>
      <c r="E66" s="8">
        <v>5</v>
      </c>
      <c r="F66" s="9">
        <v>14280</v>
      </c>
      <c r="G66" s="14">
        <f t="shared" si="39"/>
        <v>71400</v>
      </c>
      <c r="H66" s="9">
        <v>15040</v>
      </c>
      <c r="I66" s="14">
        <f t="shared" si="40"/>
        <v>75200</v>
      </c>
      <c r="J66" s="9">
        <v>15280</v>
      </c>
      <c r="K66" s="14">
        <f t="shared" si="41"/>
        <v>76400</v>
      </c>
      <c r="L66" s="9"/>
      <c r="M66" s="14">
        <f t="shared" si="42"/>
        <v>0</v>
      </c>
      <c r="N66" s="9"/>
      <c r="O66" s="14">
        <f t="shared" si="4"/>
        <v>0</v>
      </c>
      <c r="P66" s="9"/>
      <c r="Q66" s="14">
        <f t="shared" si="5"/>
        <v>0</v>
      </c>
      <c r="R66" s="9"/>
      <c r="S66" s="14">
        <f t="shared" si="6"/>
        <v>0</v>
      </c>
      <c r="T66" s="9"/>
      <c r="U66" s="14">
        <f t="shared" si="7"/>
        <v>0</v>
      </c>
      <c r="V66" s="9"/>
      <c r="W66" s="14">
        <f t="shared" si="8"/>
        <v>0</v>
      </c>
      <c r="X66" s="9"/>
      <c r="Y66" s="14">
        <f t="shared" si="9"/>
        <v>0</v>
      </c>
      <c r="Z66" s="9"/>
      <c r="AA66" s="14">
        <f t="shared" si="10"/>
        <v>0</v>
      </c>
      <c r="AB66" s="9"/>
      <c r="AC66" s="14">
        <f t="shared" si="11"/>
        <v>0</v>
      </c>
      <c r="AD66" s="31">
        <f t="shared" si="43"/>
        <v>15040</v>
      </c>
      <c r="AE66" s="31">
        <f t="shared" si="44"/>
        <v>14866.666666666666</v>
      </c>
      <c r="AF66" s="31">
        <f t="shared" si="45"/>
        <v>522.04725201205042</v>
      </c>
      <c r="AG66" s="32">
        <f t="shared" si="23"/>
        <v>3.511528600977918E-2</v>
      </c>
      <c r="AH66" s="31">
        <f t="shared" si="24"/>
        <v>15388.713918678717</v>
      </c>
      <c r="AI66" s="31">
        <f t="shared" si="25"/>
        <v>14344.619414654615</v>
      </c>
      <c r="AJ66" s="13" t="str">
        <f t="shared" si="46"/>
        <v/>
      </c>
      <c r="AK66" s="13">
        <f t="shared" si="47"/>
        <v>15040</v>
      </c>
      <c r="AL66" s="13">
        <f t="shared" si="48"/>
        <v>15280</v>
      </c>
      <c r="AM66" s="13" t="str">
        <f t="shared" si="49"/>
        <v/>
      </c>
      <c r="AN66" s="13" t="str">
        <f t="shared" si="50"/>
        <v/>
      </c>
      <c r="AO66" s="13" t="str">
        <f t="shared" si="51"/>
        <v/>
      </c>
      <c r="AP66" s="13" t="str">
        <f t="shared" si="52"/>
        <v/>
      </c>
      <c r="AQ66" s="13"/>
      <c r="AR66" s="13"/>
      <c r="AS66" s="29">
        <f t="shared" si="26"/>
        <v>15160</v>
      </c>
      <c r="AT66" s="29">
        <f t="shared" si="27"/>
        <v>15160</v>
      </c>
      <c r="AU66" s="29">
        <f t="shared" si="28"/>
        <v>169.70562748477141</v>
      </c>
      <c r="AV66" s="30">
        <f t="shared" si="29"/>
        <v>1.1194302604536372E-2</v>
      </c>
      <c r="AW66" s="31">
        <f t="shared" si="83"/>
        <v>14867</v>
      </c>
      <c r="AX66" s="31">
        <f t="shared" si="53"/>
        <v>74335</v>
      </c>
      <c r="AY66" s="34" t="s">
        <v>186</v>
      </c>
    </row>
    <row r="67" spans="1:51" ht="63.75" customHeight="1" x14ac:dyDescent="0.3">
      <c r="A67" s="5">
        <v>60</v>
      </c>
      <c r="B67" s="6" t="s">
        <v>136</v>
      </c>
      <c r="C67" s="7" t="s">
        <v>137</v>
      </c>
      <c r="D67" s="5" t="s">
        <v>43</v>
      </c>
      <c r="E67" s="8">
        <v>10</v>
      </c>
      <c r="F67" s="9">
        <v>5955</v>
      </c>
      <c r="G67" s="10">
        <f t="shared" si="39"/>
        <v>59550</v>
      </c>
      <c r="H67" s="9">
        <v>6140</v>
      </c>
      <c r="I67" s="10">
        <f t="shared" si="40"/>
        <v>61400</v>
      </c>
      <c r="J67" s="9">
        <v>6450</v>
      </c>
      <c r="K67" s="10">
        <f t="shared" si="41"/>
        <v>64500</v>
      </c>
      <c r="L67" s="9"/>
      <c r="M67" s="10">
        <f t="shared" si="42"/>
        <v>0</v>
      </c>
      <c r="N67" s="9"/>
      <c r="O67" s="10">
        <f t="shared" si="4"/>
        <v>0</v>
      </c>
      <c r="P67" s="9"/>
      <c r="Q67" s="10">
        <f t="shared" si="5"/>
        <v>0</v>
      </c>
      <c r="R67" s="9"/>
      <c r="S67" s="10">
        <f t="shared" si="6"/>
        <v>0</v>
      </c>
      <c r="T67" s="9"/>
      <c r="U67" s="10">
        <f t="shared" si="7"/>
        <v>0</v>
      </c>
      <c r="V67" s="9"/>
      <c r="W67" s="10">
        <f t="shared" si="8"/>
        <v>0</v>
      </c>
      <c r="X67" s="9"/>
      <c r="Y67" s="10">
        <f t="shared" si="9"/>
        <v>0</v>
      </c>
      <c r="Z67" s="9"/>
      <c r="AA67" s="10">
        <f t="shared" si="10"/>
        <v>0</v>
      </c>
      <c r="AB67" s="9"/>
      <c r="AC67" s="10">
        <f t="shared" si="11"/>
        <v>0</v>
      </c>
      <c r="AD67" s="31">
        <f t="shared" si="43"/>
        <v>6140</v>
      </c>
      <c r="AE67" s="31">
        <f t="shared" si="44"/>
        <v>6181.666666666667</v>
      </c>
      <c r="AF67" s="31">
        <f t="shared" si="45"/>
        <v>250.11663945714074</v>
      </c>
      <c r="AG67" s="32">
        <f t="shared" si="23"/>
        <v>4.0461036310133307E-2</v>
      </c>
      <c r="AH67" s="31">
        <f t="shared" si="24"/>
        <v>6431.783306123808</v>
      </c>
      <c r="AI67" s="31">
        <f t="shared" si="25"/>
        <v>5931.550027209526</v>
      </c>
      <c r="AJ67" s="13">
        <f t="shared" si="46"/>
        <v>5955</v>
      </c>
      <c r="AK67" s="13">
        <f t="shared" si="47"/>
        <v>6140</v>
      </c>
      <c r="AL67" s="13" t="str">
        <f t="shared" si="48"/>
        <v/>
      </c>
      <c r="AM67" s="13" t="str">
        <f t="shared" si="49"/>
        <v/>
      </c>
      <c r="AN67" s="13" t="str">
        <f t="shared" si="50"/>
        <v/>
      </c>
      <c r="AO67" s="13" t="str">
        <f t="shared" si="51"/>
        <v/>
      </c>
      <c r="AP67" s="13" t="str">
        <f t="shared" si="52"/>
        <v/>
      </c>
      <c r="AQ67" s="13"/>
      <c r="AR67" s="13"/>
      <c r="AS67" s="29">
        <f t="shared" si="26"/>
        <v>6047.5</v>
      </c>
      <c r="AT67" s="29">
        <f t="shared" si="27"/>
        <v>6047.5</v>
      </c>
      <c r="AU67" s="29">
        <f t="shared" si="28"/>
        <v>130.8147545195113</v>
      </c>
      <c r="AV67" s="30">
        <f t="shared" si="29"/>
        <v>2.1631211991651311E-2</v>
      </c>
      <c r="AW67" s="31">
        <f>+ROUND(+IFERROR(AVERAGEIF(AJ67:AR67,"&lt;&gt;q"),"q"),0)</f>
        <v>6048</v>
      </c>
      <c r="AX67" s="31">
        <f t="shared" si="53"/>
        <v>60480</v>
      </c>
      <c r="AY67" s="34" t="s">
        <v>187</v>
      </c>
    </row>
    <row r="68" spans="1:51" ht="79.8" customHeight="1" x14ac:dyDescent="0.3">
      <c r="A68" s="5">
        <v>61</v>
      </c>
      <c r="B68" s="6" t="s">
        <v>138</v>
      </c>
      <c r="C68" s="7" t="s">
        <v>139</v>
      </c>
      <c r="D68" s="5" t="s">
        <v>43</v>
      </c>
      <c r="E68" s="8">
        <v>10</v>
      </c>
      <c r="F68" s="9">
        <v>7450</v>
      </c>
      <c r="G68" s="14">
        <f t="shared" si="39"/>
        <v>74500</v>
      </c>
      <c r="H68" s="9">
        <v>7735</v>
      </c>
      <c r="I68" s="14">
        <f t="shared" si="40"/>
        <v>77350</v>
      </c>
      <c r="J68" s="9">
        <v>7145</v>
      </c>
      <c r="K68" s="14">
        <f t="shared" si="41"/>
        <v>71450</v>
      </c>
      <c r="L68" s="9"/>
      <c r="M68" s="14">
        <f t="shared" si="42"/>
        <v>0</v>
      </c>
      <c r="N68" s="9"/>
      <c r="O68" s="14">
        <f t="shared" si="4"/>
        <v>0</v>
      </c>
      <c r="P68" s="9"/>
      <c r="Q68" s="14">
        <f t="shared" si="5"/>
        <v>0</v>
      </c>
      <c r="R68" s="9"/>
      <c r="S68" s="14">
        <f t="shared" si="6"/>
        <v>0</v>
      </c>
      <c r="T68" s="9"/>
      <c r="U68" s="14">
        <f t="shared" si="7"/>
        <v>0</v>
      </c>
      <c r="V68" s="9"/>
      <c r="W68" s="14">
        <f t="shared" si="8"/>
        <v>0</v>
      </c>
      <c r="X68" s="9"/>
      <c r="Y68" s="14">
        <f t="shared" si="9"/>
        <v>0</v>
      </c>
      <c r="Z68" s="9"/>
      <c r="AA68" s="14">
        <f t="shared" si="10"/>
        <v>0</v>
      </c>
      <c r="AB68" s="9"/>
      <c r="AC68" s="14">
        <f t="shared" si="11"/>
        <v>0</v>
      </c>
      <c r="AD68" s="31">
        <f t="shared" si="43"/>
        <v>7450</v>
      </c>
      <c r="AE68" s="31">
        <f t="shared" si="44"/>
        <v>7443.333333333333</v>
      </c>
      <c r="AF68" s="31">
        <f t="shared" si="45"/>
        <v>295.05649176612491</v>
      </c>
      <c r="AG68" s="32">
        <f t="shared" si="23"/>
        <v>3.9640370591060223E-2</v>
      </c>
      <c r="AH68" s="31">
        <f t="shared" si="24"/>
        <v>7738.389825099458</v>
      </c>
      <c r="AI68" s="31">
        <f t="shared" si="25"/>
        <v>7148.2768415672081</v>
      </c>
      <c r="AJ68" s="13">
        <f t="shared" si="46"/>
        <v>7450</v>
      </c>
      <c r="AK68" s="13">
        <f t="shared" si="47"/>
        <v>7735</v>
      </c>
      <c r="AL68" s="13" t="str">
        <f t="shared" si="48"/>
        <v/>
      </c>
      <c r="AM68" s="13" t="str">
        <f t="shared" si="49"/>
        <v/>
      </c>
      <c r="AN68" s="13" t="str">
        <f t="shared" si="50"/>
        <v/>
      </c>
      <c r="AO68" s="13" t="str">
        <f t="shared" si="51"/>
        <v/>
      </c>
      <c r="AP68" s="13" t="str">
        <f t="shared" si="52"/>
        <v/>
      </c>
      <c r="AQ68" s="13"/>
      <c r="AR68" s="13"/>
      <c r="AS68" s="29">
        <f t="shared" si="26"/>
        <v>7592.5</v>
      </c>
      <c r="AT68" s="29">
        <f t="shared" si="27"/>
        <v>7592.5</v>
      </c>
      <c r="AU68" s="29">
        <f t="shared" si="28"/>
        <v>201.52543263816605</v>
      </c>
      <c r="AV68" s="30">
        <f t="shared" si="29"/>
        <v>2.6542697746218775E-2</v>
      </c>
      <c r="AW68" s="31">
        <f>ROUND(AE68,0)</f>
        <v>7443</v>
      </c>
      <c r="AX68" s="31">
        <f t="shared" si="53"/>
        <v>74430</v>
      </c>
      <c r="AY68" s="34" t="s">
        <v>186</v>
      </c>
    </row>
    <row r="69" spans="1:51" ht="68.400000000000006" customHeight="1" x14ac:dyDescent="0.3">
      <c r="A69" s="5">
        <v>62</v>
      </c>
      <c r="B69" s="6" t="s">
        <v>140</v>
      </c>
      <c r="C69" s="7" t="s">
        <v>141</v>
      </c>
      <c r="D69" s="5" t="s">
        <v>142</v>
      </c>
      <c r="E69" s="8">
        <v>6</v>
      </c>
      <c r="F69" s="9">
        <v>34510</v>
      </c>
      <c r="G69" s="10">
        <f t="shared" si="39"/>
        <v>207060</v>
      </c>
      <c r="H69" s="9">
        <v>33320</v>
      </c>
      <c r="I69" s="10">
        <f t="shared" si="40"/>
        <v>199920</v>
      </c>
      <c r="J69" s="9">
        <v>36633</v>
      </c>
      <c r="K69" s="10">
        <f t="shared" si="41"/>
        <v>219798</v>
      </c>
      <c r="L69" s="9"/>
      <c r="M69" s="10">
        <f t="shared" si="42"/>
        <v>0</v>
      </c>
      <c r="N69" s="9"/>
      <c r="O69" s="10">
        <f t="shared" si="4"/>
        <v>0</v>
      </c>
      <c r="P69" s="9"/>
      <c r="Q69" s="10">
        <f t="shared" si="5"/>
        <v>0</v>
      </c>
      <c r="R69" s="9"/>
      <c r="S69" s="10">
        <f t="shared" si="6"/>
        <v>0</v>
      </c>
      <c r="T69" s="9"/>
      <c r="U69" s="10">
        <f t="shared" si="7"/>
        <v>0</v>
      </c>
      <c r="V69" s="9"/>
      <c r="W69" s="10">
        <f t="shared" si="8"/>
        <v>0</v>
      </c>
      <c r="X69" s="9"/>
      <c r="Y69" s="10">
        <f t="shared" si="9"/>
        <v>0</v>
      </c>
      <c r="Z69" s="9"/>
      <c r="AA69" s="10">
        <f t="shared" si="10"/>
        <v>0</v>
      </c>
      <c r="AB69" s="9"/>
      <c r="AC69" s="10">
        <f t="shared" si="11"/>
        <v>0</v>
      </c>
      <c r="AD69" s="31">
        <f t="shared" si="43"/>
        <v>34510</v>
      </c>
      <c r="AE69" s="31">
        <f t="shared" si="44"/>
        <v>34821</v>
      </c>
      <c r="AF69" s="31">
        <f t="shared" si="45"/>
        <v>1678.2529606707089</v>
      </c>
      <c r="AG69" s="32">
        <f t="shared" si="23"/>
        <v>4.8196575648910396E-2</v>
      </c>
      <c r="AH69" s="31">
        <f t="shared" si="24"/>
        <v>36499.25296067071</v>
      </c>
      <c r="AI69" s="31">
        <f t="shared" si="25"/>
        <v>33142.74703932929</v>
      </c>
      <c r="AJ69" s="13">
        <f t="shared" si="46"/>
        <v>34510</v>
      </c>
      <c r="AK69" s="13">
        <f t="shared" si="47"/>
        <v>33320</v>
      </c>
      <c r="AL69" s="13" t="str">
        <f t="shared" si="48"/>
        <v/>
      </c>
      <c r="AM69" s="13" t="str">
        <f t="shared" si="49"/>
        <v/>
      </c>
      <c r="AN69" s="13" t="str">
        <f t="shared" si="50"/>
        <v/>
      </c>
      <c r="AO69" s="13" t="str">
        <f t="shared" si="51"/>
        <v/>
      </c>
      <c r="AP69" s="13" t="str">
        <f t="shared" si="52"/>
        <v/>
      </c>
      <c r="AQ69" s="13"/>
      <c r="AR69" s="13"/>
      <c r="AS69" s="29">
        <f t="shared" si="26"/>
        <v>33915</v>
      </c>
      <c r="AT69" s="29">
        <f t="shared" si="27"/>
        <v>33915</v>
      </c>
      <c r="AU69" s="29">
        <f t="shared" si="28"/>
        <v>841.45706961199153</v>
      </c>
      <c r="AV69" s="30">
        <f t="shared" si="29"/>
        <v>2.4810764252159563E-2</v>
      </c>
      <c r="AW69" s="31">
        <f t="shared" ref="AW69:AW72" si="84">+ROUND(+IFERROR(AVERAGEIF(AJ69:AR69,"&lt;&gt;q"),"q"),0)</f>
        <v>33915</v>
      </c>
      <c r="AX69" s="31">
        <f t="shared" si="53"/>
        <v>203490</v>
      </c>
      <c r="AY69" s="34" t="s">
        <v>187</v>
      </c>
    </row>
    <row r="70" spans="1:51" ht="149.4" customHeight="1" x14ac:dyDescent="0.3">
      <c r="A70" s="5">
        <v>63</v>
      </c>
      <c r="B70" s="6" t="s">
        <v>143</v>
      </c>
      <c r="C70" s="7" t="s">
        <v>201</v>
      </c>
      <c r="D70" s="5" t="s">
        <v>43</v>
      </c>
      <c r="E70" s="8">
        <v>35</v>
      </c>
      <c r="F70" s="9">
        <v>5140</v>
      </c>
      <c r="G70" s="14">
        <f t="shared" si="39"/>
        <v>179900</v>
      </c>
      <c r="H70" s="9">
        <v>5355</v>
      </c>
      <c r="I70" s="14">
        <f t="shared" si="40"/>
        <v>187425</v>
      </c>
      <c r="J70" s="9">
        <v>5145</v>
      </c>
      <c r="K70" s="14">
        <f t="shared" si="41"/>
        <v>180075</v>
      </c>
      <c r="L70" s="9"/>
      <c r="M70" s="14">
        <f t="shared" si="42"/>
        <v>0</v>
      </c>
      <c r="N70" s="9"/>
      <c r="O70" s="14">
        <f t="shared" si="4"/>
        <v>0</v>
      </c>
      <c r="P70" s="9"/>
      <c r="Q70" s="14">
        <f t="shared" si="5"/>
        <v>0</v>
      </c>
      <c r="R70" s="9"/>
      <c r="S70" s="14">
        <f t="shared" si="6"/>
        <v>0</v>
      </c>
      <c r="T70" s="9"/>
      <c r="U70" s="14">
        <f t="shared" si="7"/>
        <v>0</v>
      </c>
      <c r="V70" s="9"/>
      <c r="W70" s="14">
        <f t="shared" si="8"/>
        <v>0</v>
      </c>
      <c r="X70" s="9"/>
      <c r="Y70" s="14">
        <f t="shared" si="9"/>
        <v>0</v>
      </c>
      <c r="Z70" s="9"/>
      <c r="AA70" s="14">
        <f t="shared" si="10"/>
        <v>0</v>
      </c>
      <c r="AB70" s="9"/>
      <c r="AC70" s="14">
        <f t="shared" si="11"/>
        <v>0</v>
      </c>
      <c r="AD70" s="31">
        <f t="shared" si="43"/>
        <v>5145</v>
      </c>
      <c r="AE70" s="31">
        <f t="shared" si="44"/>
        <v>5213.333333333333</v>
      </c>
      <c r="AF70" s="31">
        <f t="shared" si="45"/>
        <v>122.71240089466643</v>
      </c>
      <c r="AG70" s="32">
        <f t="shared" si="23"/>
        <v>2.3538184314833715E-2</v>
      </c>
      <c r="AH70" s="31">
        <f t="shared" si="24"/>
        <v>5336.0457342279997</v>
      </c>
      <c r="AI70" s="31">
        <f t="shared" si="25"/>
        <v>5090.6209324386664</v>
      </c>
      <c r="AJ70" s="13">
        <f t="shared" si="46"/>
        <v>5140</v>
      </c>
      <c r="AK70" s="13" t="str">
        <f t="shared" si="47"/>
        <v/>
      </c>
      <c r="AL70" s="13">
        <f t="shared" si="48"/>
        <v>5145</v>
      </c>
      <c r="AM70" s="13" t="str">
        <f t="shared" si="49"/>
        <v/>
      </c>
      <c r="AN70" s="13" t="str">
        <f t="shared" si="50"/>
        <v/>
      </c>
      <c r="AO70" s="13" t="str">
        <f t="shared" si="51"/>
        <v/>
      </c>
      <c r="AP70" s="13" t="str">
        <f t="shared" si="52"/>
        <v/>
      </c>
      <c r="AQ70" s="13"/>
      <c r="AR70" s="13"/>
      <c r="AS70" s="29">
        <f t="shared" si="26"/>
        <v>5142.5</v>
      </c>
      <c r="AT70" s="29">
        <f t="shared" si="27"/>
        <v>5142.5</v>
      </c>
      <c r="AU70" s="29">
        <f t="shared" si="28"/>
        <v>3.5355339059327378</v>
      </c>
      <c r="AV70" s="30">
        <f t="shared" si="29"/>
        <v>6.875126700890108E-4</v>
      </c>
      <c r="AW70" s="31">
        <f t="shared" si="84"/>
        <v>5143</v>
      </c>
      <c r="AX70" s="31">
        <f t="shared" si="53"/>
        <v>180005</v>
      </c>
      <c r="AY70" s="34" t="s">
        <v>187</v>
      </c>
    </row>
    <row r="71" spans="1:51" ht="81.599999999999994" customHeight="1" x14ac:dyDescent="0.3">
      <c r="A71" s="5">
        <v>64</v>
      </c>
      <c r="B71" s="6" t="s">
        <v>144</v>
      </c>
      <c r="C71" s="7" t="s">
        <v>61</v>
      </c>
      <c r="D71" s="5" t="s">
        <v>62</v>
      </c>
      <c r="E71" s="8">
        <v>1</v>
      </c>
      <c r="F71" s="9"/>
      <c r="G71" s="10">
        <f t="shared" si="39"/>
        <v>0</v>
      </c>
      <c r="H71" s="9"/>
      <c r="I71" s="10">
        <f t="shared" si="40"/>
        <v>0</v>
      </c>
      <c r="J71" s="9">
        <v>825000</v>
      </c>
      <c r="K71" s="10">
        <f t="shared" si="41"/>
        <v>825000</v>
      </c>
      <c r="L71" s="9"/>
      <c r="M71" s="10">
        <f t="shared" si="42"/>
        <v>0</v>
      </c>
      <c r="N71" s="9"/>
      <c r="O71" s="10">
        <f t="shared" si="4"/>
        <v>0</v>
      </c>
      <c r="P71" s="9">
        <v>630000</v>
      </c>
      <c r="Q71" s="10">
        <f t="shared" si="5"/>
        <v>630000</v>
      </c>
      <c r="R71" s="9">
        <v>499800</v>
      </c>
      <c r="S71" s="10">
        <f t="shared" si="6"/>
        <v>499800</v>
      </c>
      <c r="T71" s="11"/>
      <c r="U71" s="11">
        <f t="shared" si="7"/>
        <v>0</v>
      </c>
      <c r="V71" s="11"/>
      <c r="W71" s="12">
        <f t="shared" si="8"/>
        <v>0</v>
      </c>
      <c r="X71" s="11"/>
      <c r="Y71" s="11">
        <f t="shared" si="9"/>
        <v>0</v>
      </c>
      <c r="Z71" s="13"/>
      <c r="AA71" s="13">
        <f t="shared" si="10"/>
        <v>0</v>
      </c>
      <c r="AB71" s="13"/>
      <c r="AC71" s="13">
        <f t="shared" si="11"/>
        <v>0</v>
      </c>
      <c r="AD71" s="31">
        <f t="shared" si="43"/>
        <v>630000</v>
      </c>
      <c r="AE71" s="31">
        <f t="shared" si="44"/>
        <v>651600</v>
      </c>
      <c r="AF71" s="31">
        <f t="shared" si="45"/>
        <v>163672.4778330187</v>
      </c>
      <c r="AG71" s="32">
        <f t="shared" si="23"/>
        <v>0.25118550925877642</v>
      </c>
      <c r="AH71" s="31">
        <f t="shared" si="24"/>
        <v>815272.47783301864</v>
      </c>
      <c r="AI71" s="31">
        <f t="shared" si="25"/>
        <v>487927.5221669813</v>
      </c>
      <c r="AJ71" s="13" t="str">
        <f t="shared" si="46"/>
        <v/>
      </c>
      <c r="AK71" s="13" t="str">
        <f t="shared" si="47"/>
        <v/>
      </c>
      <c r="AL71" s="13" t="str">
        <f t="shared" si="48"/>
        <v/>
      </c>
      <c r="AM71" s="13" t="str">
        <f t="shared" si="49"/>
        <v/>
      </c>
      <c r="AN71" s="13" t="str">
        <f t="shared" si="50"/>
        <v/>
      </c>
      <c r="AO71" s="13">
        <f t="shared" si="51"/>
        <v>630000</v>
      </c>
      <c r="AP71" s="13">
        <f t="shared" si="52"/>
        <v>499800</v>
      </c>
      <c r="AQ71" s="13"/>
      <c r="AR71" s="13"/>
      <c r="AS71" s="29">
        <f t="shared" si="26"/>
        <v>564900</v>
      </c>
      <c r="AT71" s="29">
        <f t="shared" si="27"/>
        <v>564900</v>
      </c>
      <c r="AU71" s="29">
        <f t="shared" si="28"/>
        <v>92065.302910488492</v>
      </c>
      <c r="AV71" s="30">
        <f t="shared" si="29"/>
        <v>0.16297628413965037</v>
      </c>
      <c r="AW71" s="31">
        <f>ROUND(AE71,0)</f>
        <v>651600</v>
      </c>
      <c r="AX71" s="31">
        <f t="shared" si="53"/>
        <v>651600</v>
      </c>
      <c r="AY71" s="34" t="s">
        <v>186</v>
      </c>
    </row>
    <row r="72" spans="1:51" ht="61.5" customHeight="1" x14ac:dyDescent="0.3">
      <c r="A72" s="5">
        <v>65</v>
      </c>
      <c r="B72" s="6" t="s">
        <v>145</v>
      </c>
      <c r="C72" s="7" t="s">
        <v>146</v>
      </c>
      <c r="D72" s="5" t="s">
        <v>43</v>
      </c>
      <c r="E72" s="8">
        <v>2</v>
      </c>
      <c r="F72" s="9">
        <v>202300</v>
      </c>
      <c r="G72" s="10">
        <f t="shared" si="39"/>
        <v>404600</v>
      </c>
      <c r="H72" s="9">
        <v>232050</v>
      </c>
      <c r="I72" s="10">
        <f t="shared" si="40"/>
        <v>464100</v>
      </c>
      <c r="J72" s="9">
        <v>192780</v>
      </c>
      <c r="K72" s="10">
        <f t="shared" si="41"/>
        <v>385560</v>
      </c>
      <c r="L72" s="9"/>
      <c r="M72" s="10">
        <f t="shared" si="42"/>
        <v>0</v>
      </c>
      <c r="N72" s="9"/>
      <c r="O72" s="10">
        <f t="shared" si="4"/>
        <v>0</v>
      </c>
      <c r="P72" s="9"/>
      <c r="Q72" s="10">
        <f t="shared" si="5"/>
        <v>0</v>
      </c>
      <c r="R72" s="9"/>
      <c r="S72" s="10">
        <f t="shared" si="6"/>
        <v>0</v>
      </c>
      <c r="T72" s="9"/>
      <c r="U72" s="10">
        <f t="shared" si="7"/>
        <v>0</v>
      </c>
      <c r="V72" s="9"/>
      <c r="W72" s="10">
        <f t="shared" si="8"/>
        <v>0</v>
      </c>
      <c r="X72" s="9"/>
      <c r="Y72" s="10">
        <f t="shared" si="9"/>
        <v>0</v>
      </c>
      <c r="Z72" s="9"/>
      <c r="AA72" s="10">
        <f t="shared" si="10"/>
        <v>0</v>
      </c>
      <c r="AB72" s="9"/>
      <c r="AC72" s="10">
        <f t="shared" si="11"/>
        <v>0</v>
      </c>
      <c r="AD72" s="31">
        <f t="shared" si="43"/>
        <v>202300</v>
      </c>
      <c r="AE72" s="31">
        <f t="shared" si="44"/>
        <v>209043.33333333334</v>
      </c>
      <c r="AF72" s="31">
        <f t="shared" si="45"/>
        <v>20485.0587827649</v>
      </c>
      <c r="AG72" s="32">
        <f t="shared" si="23"/>
        <v>9.7994317523152616E-2</v>
      </c>
      <c r="AH72" s="31">
        <f t="shared" si="24"/>
        <v>229528.39211609826</v>
      </c>
      <c r="AI72" s="31">
        <f t="shared" si="25"/>
        <v>188558.27455056843</v>
      </c>
      <c r="AJ72" s="13">
        <f t="shared" si="46"/>
        <v>202300</v>
      </c>
      <c r="AK72" s="13" t="str">
        <f t="shared" si="47"/>
        <v/>
      </c>
      <c r="AL72" s="13">
        <f t="shared" si="48"/>
        <v>192780</v>
      </c>
      <c r="AM72" s="13" t="str">
        <f t="shared" si="49"/>
        <v/>
      </c>
      <c r="AN72" s="13" t="str">
        <f t="shared" si="50"/>
        <v/>
      </c>
      <c r="AO72" s="13" t="str">
        <f t="shared" si="51"/>
        <v/>
      </c>
      <c r="AP72" s="13" t="str">
        <f t="shared" si="52"/>
        <v/>
      </c>
      <c r="AQ72" s="13"/>
      <c r="AR72" s="13"/>
      <c r="AS72" s="29">
        <f t="shared" si="26"/>
        <v>197540</v>
      </c>
      <c r="AT72" s="29">
        <f t="shared" si="27"/>
        <v>197540</v>
      </c>
      <c r="AU72" s="29">
        <f t="shared" si="28"/>
        <v>6731.6565568959322</v>
      </c>
      <c r="AV72" s="30">
        <f t="shared" si="29"/>
        <v>3.4077435237905906E-2</v>
      </c>
      <c r="AW72" s="31">
        <f t="shared" si="84"/>
        <v>197540</v>
      </c>
      <c r="AX72" s="31">
        <f t="shared" si="53"/>
        <v>395080</v>
      </c>
      <c r="AY72" s="34" t="s">
        <v>187</v>
      </c>
    </row>
    <row r="73" spans="1:51" ht="65.400000000000006" customHeight="1" x14ac:dyDescent="0.3">
      <c r="A73" s="5">
        <v>66</v>
      </c>
      <c r="B73" s="6" t="s">
        <v>147</v>
      </c>
      <c r="C73" s="7" t="s">
        <v>202</v>
      </c>
      <c r="D73" s="5" t="s">
        <v>43</v>
      </c>
      <c r="E73" s="8">
        <v>35</v>
      </c>
      <c r="F73" s="9">
        <v>2380</v>
      </c>
      <c r="G73" s="14">
        <f t="shared" ref="G73:G95" si="85">+$E73*F73</f>
        <v>83300</v>
      </c>
      <c r="H73" s="9">
        <v>2420</v>
      </c>
      <c r="I73" s="14">
        <f t="shared" ref="I73:I95" si="86">+$E73*H73</f>
        <v>84700</v>
      </c>
      <c r="J73" s="9">
        <v>2310</v>
      </c>
      <c r="K73" s="14">
        <f t="shared" ref="K73:K95" si="87">+$E73*J73</f>
        <v>80850</v>
      </c>
      <c r="L73" s="9"/>
      <c r="M73" s="14">
        <f t="shared" ref="M73:M95" si="88">+$E73*L73</f>
        <v>0</v>
      </c>
      <c r="N73" s="9"/>
      <c r="O73" s="14">
        <f t="shared" ref="O73:O95" si="89">+$E73*N73</f>
        <v>0</v>
      </c>
      <c r="P73" s="9"/>
      <c r="Q73" s="14">
        <f t="shared" ref="Q73:Q95" si="90">+$E73*P73</f>
        <v>0</v>
      </c>
      <c r="R73" s="9"/>
      <c r="S73" s="14">
        <f t="shared" ref="S73:S95" si="91">+$E73*R73</f>
        <v>0</v>
      </c>
      <c r="T73" s="9"/>
      <c r="U73" s="14">
        <f t="shared" ref="U73:U95" si="92">+$E73*T73</f>
        <v>0</v>
      </c>
      <c r="V73" s="9"/>
      <c r="W73" s="14">
        <f t="shared" ref="W73:W95" si="93">+$E73*V73</f>
        <v>0</v>
      </c>
      <c r="X73" s="9"/>
      <c r="Y73" s="14">
        <f t="shared" ref="Y73:Y95" si="94">+$E73*X73</f>
        <v>0</v>
      </c>
      <c r="Z73" s="9"/>
      <c r="AA73" s="14">
        <f t="shared" ref="AA73:AA95" si="95">+$E73*Z73</f>
        <v>0</v>
      </c>
      <c r="AB73" s="9"/>
      <c r="AC73" s="14">
        <f t="shared" ref="AC73:AC95" si="96">+$E73*AB73</f>
        <v>0</v>
      </c>
      <c r="AD73" s="31">
        <f t="shared" ref="AD73:AD95" si="97">IFERROR(MEDIAN($F73,$H73,$J73,$L73,$N73,$P73,$R73,$T73,$V73,$X73,$Z73,$AB73),"")</f>
        <v>2380</v>
      </c>
      <c r="AE73" s="31">
        <f t="shared" ref="AE73:AE95" si="98">IFERROR(AVERAGE($F73,$H73,$J73,$L73,$N73,$P73,$R73,$T73,$V73,$X73,$Z73,$AB73),"")</f>
        <v>2370</v>
      </c>
      <c r="AF73" s="31">
        <f t="shared" ref="AF73:AF95" si="99">IFERROR(STDEV($F73,$H73,$J73,$L73,$N73,$P73,$R73,$T73,$V73,$X73,$Z73,$AB73),"")</f>
        <v>55.677643628300217</v>
      </c>
      <c r="AG73" s="32">
        <f t="shared" si="23"/>
        <v>2.3492676636413592E-2</v>
      </c>
      <c r="AH73" s="31">
        <f t="shared" si="24"/>
        <v>2425.6776436283003</v>
      </c>
      <c r="AI73" s="31">
        <f t="shared" si="25"/>
        <v>2314.3223563716997</v>
      </c>
      <c r="AJ73" s="13">
        <f t="shared" ref="AJ73:AJ95" si="100">IF(AND(F73&lt;=$AH73,F73&gt;=$AI73),F73,"")</f>
        <v>2380</v>
      </c>
      <c r="AK73" s="13">
        <f t="shared" ref="AK73:AK95" si="101">IF(AND(H73&lt;=$AH73,H73&gt;=$AI73),H73,"")</f>
        <v>2420</v>
      </c>
      <c r="AL73" s="13" t="str">
        <f t="shared" ref="AL73:AL95" si="102">IF(AND(J73&lt;=$AH73,J73&gt;=$AI73),J73,"")</f>
        <v/>
      </c>
      <c r="AM73" s="13" t="str">
        <f t="shared" ref="AM73:AM95" si="103">IF(AND(L73&lt;=$AH73,L73&gt;=$AI73),L73,"")</f>
        <v/>
      </c>
      <c r="AN73" s="13" t="str">
        <f t="shared" ref="AN73:AN95" si="104">IF(AND(N73&lt;=$AH73,N73&gt;=$AI73),N73,"")</f>
        <v/>
      </c>
      <c r="AO73" s="13" t="str">
        <f t="shared" ref="AO73:AO95" si="105">IF(AND(P73&lt;=$AH73,P73&gt;=$AI73),P73,"")</f>
        <v/>
      </c>
      <c r="AP73" s="13" t="str">
        <f t="shared" ref="AP73:AP95" si="106">IF(AND(R73&lt;=$AH73,R73&gt;=$AI73),R73,"")</f>
        <v/>
      </c>
      <c r="AQ73" s="13"/>
      <c r="AR73" s="13"/>
      <c r="AS73" s="29">
        <f t="shared" ref="AS73:AS95" si="107">MEDIAN(AJ73:AR73)</f>
        <v>2400</v>
      </c>
      <c r="AT73" s="29">
        <f t="shared" ref="AT73:AT95" si="108">AVERAGE(AJ73:AR73)</f>
        <v>2400</v>
      </c>
      <c r="AU73" s="29">
        <f t="shared" ref="AU73:AU95" si="109">STDEV(AJ73:AR73)</f>
        <v>28.284271247461902</v>
      </c>
      <c r="AV73" s="30">
        <f t="shared" ref="AV73:AV95" si="110">IFERROR((AU73/AT73)*100%,"")</f>
        <v>1.1785113019775792E-2</v>
      </c>
      <c r="AW73" s="31">
        <f>ROUND(AE73,0)</f>
        <v>2370</v>
      </c>
      <c r="AX73" s="31">
        <f t="shared" ref="AX73:AX95" si="111">AW73*E73</f>
        <v>82950</v>
      </c>
      <c r="AY73" s="34" t="s">
        <v>186</v>
      </c>
    </row>
    <row r="74" spans="1:51" ht="46.5" customHeight="1" x14ac:dyDescent="0.3">
      <c r="A74" s="5">
        <v>67</v>
      </c>
      <c r="B74" s="6" t="s">
        <v>148</v>
      </c>
      <c r="C74" s="7" t="s">
        <v>149</v>
      </c>
      <c r="D74" s="5" t="s">
        <v>43</v>
      </c>
      <c r="E74" s="8">
        <v>1</v>
      </c>
      <c r="F74" s="9">
        <v>1130500</v>
      </c>
      <c r="G74" s="10">
        <f t="shared" si="85"/>
        <v>1130500</v>
      </c>
      <c r="H74" s="9">
        <v>1190000</v>
      </c>
      <c r="I74" s="10">
        <f t="shared" si="86"/>
        <v>1190000</v>
      </c>
      <c r="J74" s="9">
        <v>1309000</v>
      </c>
      <c r="K74" s="10">
        <f t="shared" si="87"/>
        <v>1309000</v>
      </c>
      <c r="L74" s="9"/>
      <c r="M74" s="10">
        <f t="shared" si="88"/>
        <v>0</v>
      </c>
      <c r="N74" s="9"/>
      <c r="O74" s="10">
        <f t="shared" si="89"/>
        <v>0</v>
      </c>
      <c r="P74" s="9"/>
      <c r="Q74" s="10">
        <f t="shared" si="90"/>
        <v>0</v>
      </c>
      <c r="R74" s="9"/>
      <c r="S74" s="10">
        <f t="shared" si="91"/>
        <v>0</v>
      </c>
      <c r="T74" s="9"/>
      <c r="U74" s="10">
        <f t="shared" si="92"/>
        <v>0</v>
      </c>
      <c r="V74" s="9"/>
      <c r="W74" s="10">
        <f t="shared" si="93"/>
        <v>0</v>
      </c>
      <c r="X74" s="9"/>
      <c r="Y74" s="10">
        <f t="shared" si="94"/>
        <v>0</v>
      </c>
      <c r="Z74" s="9"/>
      <c r="AA74" s="10">
        <f t="shared" si="95"/>
        <v>0</v>
      </c>
      <c r="AB74" s="9"/>
      <c r="AC74" s="10">
        <f t="shared" si="96"/>
        <v>0</v>
      </c>
      <c r="AD74" s="31">
        <f t="shared" si="97"/>
        <v>1190000</v>
      </c>
      <c r="AE74" s="31">
        <f t="shared" si="98"/>
        <v>1209833.3333333333</v>
      </c>
      <c r="AF74" s="31">
        <f t="shared" si="99"/>
        <v>90887.751283290825</v>
      </c>
      <c r="AG74" s="32">
        <f t="shared" ref="AG74:AG95" si="112">IFERROR((AF74/AE74)*100%,"")</f>
        <v>7.5124191720587541E-2</v>
      </c>
      <c r="AH74" s="31">
        <f t="shared" ref="AH74:AH95" si="113">IFERROR(AE74+AF74,"")</f>
        <v>1300721.0846166241</v>
      </c>
      <c r="AI74" s="31">
        <f t="shared" ref="AI74:AI95" si="114">IFERROR(AE74-AF74,"")</f>
        <v>1118945.5820500425</v>
      </c>
      <c r="AJ74" s="13">
        <f t="shared" si="100"/>
        <v>1130500</v>
      </c>
      <c r="AK74" s="13">
        <f t="shared" si="101"/>
        <v>1190000</v>
      </c>
      <c r="AL74" s="13" t="str">
        <f t="shared" si="102"/>
        <v/>
      </c>
      <c r="AM74" s="13" t="str">
        <f t="shared" si="103"/>
        <v/>
      </c>
      <c r="AN74" s="13" t="str">
        <f t="shared" si="104"/>
        <v/>
      </c>
      <c r="AO74" s="13" t="str">
        <f t="shared" si="105"/>
        <v/>
      </c>
      <c r="AP74" s="13" t="str">
        <f t="shared" si="106"/>
        <v/>
      </c>
      <c r="AQ74" s="13"/>
      <c r="AR74" s="13"/>
      <c r="AS74" s="29">
        <f t="shared" si="107"/>
        <v>1160250</v>
      </c>
      <c r="AT74" s="29">
        <f t="shared" si="108"/>
        <v>1160250</v>
      </c>
      <c r="AU74" s="29">
        <f t="shared" si="109"/>
        <v>42072.853480599581</v>
      </c>
      <c r="AV74" s="30">
        <f t="shared" si="110"/>
        <v>3.6261886214694748E-2</v>
      </c>
      <c r="AW74" s="31">
        <f>+ROUND(+IFERROR(AVERAGEIF(AJ74:AR74,"&lt;&gt;q"),"q"),0)</f>
        <v>1160250</v>
      </c>
      <c r="AX74" s="31">
        <f t="shared" si="111"/>
        <v>1160250</v>
      </c>
      <c r="AY74" s="34" t="s">
        <v>187</v>
      </c>
    </row>
    <row r="75" spans="1:51" ht="66" customHeight="1" x14ac:dyDescent="0.3">
      <c r="A75" s="5">
        <v>68</v>
      </c>
      <c r="B75" s="79" t="s">
        <v>150</v>
      </c>
      <c r="C75" s="7" t="s">
        <v>239</v>
      </c>
      <c r="D75" s="5" t="s">
        <v>151</v>
      </c>
      <c r="E75" s="44">
        <v>15</v>
      </c>
      <c r="F75" s="9">
        <v>128950</v>
      </c>
      <c r="G75" s="14">
        <f t="shared" si="85"/>
        <v>1934250</v>
      </c>
      <c r="H75" s="9">
        <v>130900</v>
      </c>
      <c r="I75" s="14">
        <f t="shared" si="86"/>
        <v>1963500</v>
      </c>
      <c r="J75" s="9">
        <v>132100</v>
      </c>
      <c r="K75" s="14">
        <f t="shared" si="87"/>
        <v>1981500</v>
      </c>
      <c r="L75" s="9"/>
      <c r="M75" s="14">
        <f t="shared" si="88"/>
        <v>0</v>
      </c>
      <c r="N75" s="9"/>
      <c r="O75" s="14">
        <f t="shared" si="89"/>
        <v>0</v>
      </c>
      <c r="P75" s="9"/>
      <c r="Q75" s="14">
        <f t="shared" si="90"/>
        <v>0</v>
      </c>
      <c r="R75" s="9"/>
      <c r="S75" s="14">
        <f t="shared" si="91"/>
        <v>0</v>
      </c>
      <c r="T75" s="9"/>
      <c r="U75" s="14">
        <f t="shared" si="92"/>
        <v>0</v>
      </c>
      <c r="V75" s="9"/>
      <c r="W75" s="14">
        <f t="shared" si="93"/>
        <v>0</v>
      </c>
      <c r="X75" s="9"/>
      <c r="Y75" s="14">
        <f t="shared" si="94"/>
        <v>0</v>
      </c>
      <c r="Z75" s="9"/>
      <c r="AA75" s="14">
        <f t="shared" si="95"/>
        <v>0</v>
      </c>
      <c r="AB75" s="9"/>
      <c r="AC75" s="14">
        <f t="shared" si="96"/>
        <v>0</v>
      </c>
      <c r="AD75" s="31">
        <f t="shared" si="97"/>
        <v>130900</v>
      </c>
      <c r="AE75" s="31">
        <f t="shared" si="98"/>
        <v>130650</v>
      </c>
      <c r="AF75" s="31">
        <f t="shared" si="99"/>
        <v>1589.8113095584645</v>
      </c>
      <c r="AG75" s="32">
        <f t="shared" si="112"/>
        <v>1.2168475388889892E-2</v>
      </c>
      <c r="AH75" s="31">
        <f t="shared" si="113"/>
        <v>132239.81130955846</v>
      </c>
      <c r="AI75" s="31">
        <f t="shared" si="114"/>
        <v>129060.18869044153</v>
      </c>
      <c r="AJ75" s="13" t="str">
        <f t="shared" si="100"/>
        <v/>
      </c>
      <c r="AK75" s="13">
        <f t="shared" si="101"/>
        <v>130900</v>
      </c>
      <c r="AL75" s="13">
        <f t="shared" si="102"/>
        <v>132100</v>
      </c>
      <c r="AM75" s="13" t="str">
        <f t="shared" si="103"/>
        <v/>
      </c>
      <c r="AN75" s="13" t="str">
        <f t="shared" si="104"/>
        <v/>
      </c>
      <c r="AO75" s="13" t="str">
        <f t="shared" si="105"/>
        <v/>
      </c>
      <c r="AP75" s="13" t="str">
        <f t="shared" si="106"/>
        <v/>
      </c>
      <c r="AQ75" s="13"/>
      <c r="AR75" s="13"/>
      <c r="AS75" s="29">
        <f t="shared" si="107"/>
        <v>131500</v>
      </c>
      <c r="AT75" s="29">
        <f t="shared" si="108"/>
        <v>131500</v>
      </c>
      <c r="AU75" s="29">
        <f t="shared" si="109"/>
        <v>848.52813742385706</v>
      </c>
      <c r="AV75" s="30">
        <f t="shared" si="110"/>
        <v>6.4526854556947308E-3</v>
      </c>
      <c r="AW75" s="31">
        <f>ROUND(AE75,0)</f>
        <v>130650</v>
      </c>
      <c r="AX75" s="31">
        <f t="shared" si="111"/>
        <v>1959750</v>
      </c>
      <c r="AY75" s="34" t="s">
        <v>186</v>
      </c>
    </row>
    <row r="76" spans="1:51" ht="57" customHeight="1" x14ac:dyDescent="0.3">
      <c r="A76" s="5">
        <v>69</v>
      </c>
      <c r="B76" s="6" t="s">
        <v>152</v>
      </c>
      <c r="C76" s="7" t="s">
        <v>153</v>
      </c>
      <c r="D76" s="5" t="s">
        <v>43</v>
      </c>
      <c r="E76" s="8">
        <v>1</v>
      </c>
      <c r="F76" s="9">
        <v>1568500</v>
      </c>
      <c r="G76" s="10">
        <f t="shared" si="85"/>
        <v>1568500</v>
      </c>
      <c r="H76" s="9">
        <v>1487500</v>
      </c>
      <c r="I76" s="10">
        <f t="shared" si="86"/>
        <v>1487500</v>
      </c>
      <c r="J76" s="9">
        <v>1666000</v>
      </c>
      <c r="K76" s="10">
        <f t="shared" si="87"/>
        <v>1666000</v>
      </c>
      <c r="L76" s="9"/>
      <c r="M76" s="10">
        <f t="shared" si="88"/>
        <v>0</v>
      </c>
      <c r="N76" s="9"/>
      <c r="O76" s="10">
        <f t="shared" si="89"/>
        <v>0</v>
      </c>
      <c r="P76" s="9"/>
      <c r="Q76" s="10">
        <f t="shared" si="90"/>
        <v>0</v>
      </c>
      <c r="R76" s="9"/>
      <c r="S76" s="10">
        <f t="shared" si="91"/>
        <v>0</v>
      </c>
      <c r="T76" s="9"/>
      <c r="U76" s="10">
        <f t="shared" si="92"/>
        <v>0</v>
      </c>
      <c r="V76" s="9"/>
      <c r="W76" s="10">
        <f t="shared" si="93"/>
        <v>0</v>
      </c>
      <c r="X76" s="9"/>
      <c r="Y76" s="10">
        <f t="shared" si="94"/>
        <v>0</v>
      </c>
      <c r="Z76" s="9"/>
      <c r="AA76" s="10">
        <f t="shared" si="95"/>
        <v>0</v>
      </c>
      <c r="AB76" s="9"/>
      <c r="AC76" s="10">
        <f t="shared" si="96"/>
        <v>0</v>
      </c>
      <c r="AD76" s="31">
        <f t="shared" si="97"/>
        <v>1568500</v>
      </c>
      <c r="AE76" s="31">
        <f t="shared" si="98"/>
        <v>1574000</v>
      </c>
      <c r="AF76" s="31">
        <f t="shared" si="99"/>
        <v>89377.010466898035</v>
      </c>
      <c r="AG76" s="32">
        <f t="shared" si="112"/>
        <v>5.6783361160672195E-2</v>
      </c>
      <c r="AH76" s="31">
        <f t="shared" si="113"/>
        <v>1663377.0104668981</v>
      </c>
      <c r="AI76" s="31">
        <f t="shared" si="114"/>
        <v>1484622.9895331019</v>
      </c>
      <c r="AJ76" s="13">
        <f t="shared" si="100"/>
        <v>1568500</v>
      </c>
      <c r="AK76" s="13">
        <f t="shared" si="101"/>
        <v>1487500</v>
      </c>
      <c r="AL76" s="13" t="str">
        <f t="shared" si="102"/>
        <v/>
      </c>
      <c r="AM76" s="13" t="str">
        <f t="shared" si="103"/>
        <v/>
      </c>
      <c r="AN76" s="13" t="str">
        <f t="shared" si="104"/>
        <v/>
      </c>
      <c r="AO76" s="13" t="str">
        <f t="shared" si="105"/>
        <v/>
      </c>
      <c r="AP76" s="13" t="str">
        <f t="shared" si="106"/>
        <v/>
      </c>
      <c r="AQ76" s="13"/>
      <c r="AR76" s="13"/>
      <c r="AS76" s="29">
        <f t="shared" si="107"/>
        <v>1528000</v>
      </c>
      <c r="AT76" s="29">
        <f t="shared" si="108"/>
        <v>1528000</v>
      </c>
      <c r="AU76" s="29">
        <f t="shared" si="109"/>
        <v>57275.649276110351</v>
      </c>
      <c r="AV76" s="30">
        <f t="shared" si="110"/>
        <v>3.7484063662375881E-2</v>
      </c>
      <c r="AW76" s="31">
        <f t="shared" ref="AW76:AW77" si="115">+ROUND(+IFERROR(AVERAGEIF(AJ76:AR76,"&lt;&gt;q"),"q"),0)</f>
        <v>1528000</v>
      </c>
      <c r="AX76" s="31">
        <f t="shared" si="111"/>
        <v>1528000</v>
      </c>
      <c r="AY76" s="34" t="s">
        <v>187</v>
      </c>
    </row>
    <row r="77" spans="1:51" ht="60" customHeight="1" x14ac:dyDescent="0.3">
      <c r="A77" s="5">
        <v>70</v>
      </c>
      <c r="B77" s="6" t="s">
        <v>154</v>
      </c>
      <c r="C77" s="7" t="s">
        <v>155</v>
      </c>
      <c r="D77" s="5" t="s">
        <v>43</v>
      </c>
      <c r="E77" s="8">
        <v>1</v>
      </c>
      <c r="F77" s="9">
        <v>1404200</v>
      </c>
      <c r="G77" s="14">
        <f t="shared" si="85"/>
        <v>1404200</v>
      </c>
      <c r="H77" s="9">
        <v>1428000</v>
      </c>
      <c r="I77" s="14">
        <f t="shared" si="86"/>
        <v>1428000</v>
      </c>
      <c r="J77" s="9">
        <v>1406500</v>
      </c>
      <c r="K77" s="14">
        <f t="shared" si="87"/>
        <v>1406500</v>
      </c>
      <c r="L77" s="9"/>
      <c r="M77" s="14">
        <f t="shared" si="88"/>
        <v>0</v>
      </c>
      <c r="N77" s="9"/>
      <c r="O77" s="14">
        <f t="shared" si="89"/>
        <v>0</v>
      </c>
      <c r="P77" s="9"/>
      <c r="Q77" s="14">
        <f t="shared" si="90"/>
        <v>0</v>
      </c>
      <c r="R77" s="9"/>
      <c r="S77" s="14">
        <f t="shared" si="91"/>
        <v>0</v>
      </c>
      <c r="T77" s="9"/>
      <c r="U77" s="14">
        <f t="shared" si="92"/>
        <v>0</v>
      </c>
      <c r="V77" s="9"/>
      <c r="W77" s="14">
        <f t="shared" si="93"/>
        <v>0</v>
      </c>
      <c r="X77" s="9"/>
      <c r="Y77" s="14">
        <f t="shared" si="94"/>
        <v>0</v>
      </c>
      <c r="Z77" s="9"/>
      <c r="AA77" s="14">
        <f t="shared" si="95"/>
        <v>0</v>
      </c>
      <c r="AB77" s="9"/>
      <c r="AC77" s="14">
        <f t="shared" si="96"/>
        <v>0</v>
      </c>
      <c r="AD77" s="31">
        <f t="shared" si="97"/>
        <v>1406500</v>
      </c>
      <c r="AE77" s="31">
        <f t="shared" si="98"/>
        <v>1412900</v>
      </c>
      <c r="AF77" s="31">
        <f t="shared" si="99"/>
        <v>13127.452151883854</v>
      </c>
      <c r="AG77" s="32">
        <f t="shared" si="112"/>
        <v>9.291140315580617E-3</v>
      </c>
      <c r="AH77" s="31">
        <f t="shared" si="113"/>
        <v>1426027.4521518839</v>
      </c>
      <c r="AI77" s="31">
        <f t="shared" si="114"/>
        <v>1399772.5478481161</v>
      </c>
      <c r="AJ77" s="13">
        <f t="shared" si="100"/>
        <v>1404200</v>
      </c>
      <c r="AK77" s="13" t="str">
        <f t="shared" si="101"/>
        <v/>
      </c>
      <c r="AL77" s="13">
        <f t="shared" si="102"/>
        <v>1406500</v>
      </c>
      <c r="AM77" s="13" t="str">
        <f t="shared" si="103"/>
        <v/>
      </c>
      <c r="AN77" s="13" t="str">
        <f t="shared" si="104"/>
        <v/>
      </c>
      <c r="AO77" s="13" t="str">
        <f t="shared" si="105"/>
        <v/>
      </c>
      <c r="AP77" s="13" t="str">
        <f t="shared" si="106"/>
        <v/>
      </c>
      <c r="AQ77" s="13"/>
      <c r="AR77" s="13"/>
      <c r="AS77" s="29">
        <f t="shared" si="107"/>
        <v>1405350</v>
      </c>
      <c r="AT77" s="29">
        <f t="shared" si="108"/>
        <v>1405350</v>
      </c>
      <c r="AU77" s="29">
        <f t="shared" si="109"/>
        <v>1626.3455967290593</v>
      </c>
      <c r="AV77" s="30">
        <f t="shared" si="110"/>
        <v>1.1572530663030984E-3</v>
      </c>
      <c r="AW77" s="31">
        <f t="shared" si="115"/>
        <v>1405350</v>
      </c>
      <c r="AX77" s="31">
        <f t="shared" si="111"/>
        <v>1405350</v>
      </c>
      <c r="AY77" s="34" t="s">
        <v>187</v>
      </c>
    </row>
    <row r="78" spans="1:51" ht="64.5" customHeight="1" x14ac:dyDescent="0.3">
      <c r="A78" s="5">
        <v>71</v>
      </c>
      <c r="B78" s="6" t="s">
        <v>156</v>
      </c>
      <c r="C78" s="7" t="s">
        <v>157</v>
      </c>
      <c r="D78" s="5" t="s">
        <v>43</v>
      </c>
      <c r="E78" s="8">
        <v>1</v>
      </c>
      <c r="F78" s="9">
        <v>2127800</v>
      </c>
      <c r="G78" s="10">
        <f t="shared" si="85"/>
        <v>2127800</v>
      </c>
      <c r="H78" s="9">
        <v>1963500</v>
      </c>
      <c r="I78" s="10">
        <f t="shared" si="86"/>
        <v>1963500</v>
      </c>
      <c r="J78" s="9">
        <v>2261000</v>
      </c>
      <c r="K78" s="10">
        <f t="shared" si="87"/>
        <v>2261000</v>
      </c>
      <c r="L78" s="9"/>
      <c r="M78" s="10">
        <f t="shared" si="88"/>
        <v>0</v>
      </c>
      <c r="N78" s="9"/>
      <c r="O78" s="10">
        <f t="shared" si="89"/>
        <v>0</v>
      </c>
      <c r="P78" s="9"/>
      <c r="Q78" s="10">
        <f t="shared" si="90"/>
        <v>0</v>
      </c>
      <c r="R78" s="9"/>
      <c r="S78" s="10">
        <f t="shared" si="91"/>
        <v>0</v>
      </c>
      <c r="T78" s="9"/>
      <c r="U78" s="10">
        <f t="shared" si="92"/>
        <v>0</v>
      </c>
      <c r="V78" s="9"/>
      <c r="W78" s="10">
        <f t="shared" si="93"/>
        <v>0</v>
      </c>
      <c r="X78" s="9"/>
      <c r="Y78" s="10">
        <f t="shared" si="94"/>
        <v>0</v>
      </c>
      <c r="Z78" s="9"/>
      <c r="AA78" s="10">
        <f t="shared" si="95"/>
        <v>0</v>
      </c>
      <c r="AB78" s="9"/>
      <c r="AC78" s="10">
        <f t="shared" si="96"/>
        <v>0</v>
      </c>
      <c r="AD78" s="31">
        <f t="shared" si="97"/>
        <v>2127800</v>
      </c>
      <c r="AE78" s="31">
        <f t="shared" si="98"/>
        <v>2117433.3333333335</v>
      </c>
      <c r="AF78" s="31">
        <f t="shared" si="99"/>
        <v>149020.68089138949</v>
      </c>
      <c r="AG78" s="32">
        <f t="shared" si="112"/>
        <v>7.0377980050401967E-2</v>
      </c>
      <c r="AH78" s="31">
        <f t="shared" si="113"/>
        <v>2266454.014224723</v>
      </c>
      <c r="AI78" s="31">
        <f t="shared" si="114"/>
        <v>1968412.652441944</v>
      </c>
      <c r="AJ78" s="13">
        <f t="shared" si="100"/>
        <v>2127800</v>
      </c>
      <c r="AK78" s="13" t="str">
        <f t="shared" si="101"/>
        <v/>
      </c>
      <c r="AL78" s="13">
        <f t="shared" si="102"/>
        <v>2261000</v>
      </c>
      <c r="AM78" s="13" t="str">
        <f t="shared" si="103"/>
        <v/>
      </c>
      <c r="AN78" s="13" t="str">
        <f t="shared" si="104"/>
        <v/>
      </c>
      <c r="AO78" s="13" t="str">
        <f t="shared" si="105"/>
        <v/>
      </c>
      <c r="AP78" s="13" t="str">
        <f t="shared" si="106"/>
        <v/>
      </c>
      <c r="AQ78" s="13"/>
      <c r="AR78" s="13"/>
      <c r="AS78" s="29">
        <f t="shared" si="107"/>
        <v>2194400</v>
      </c>
      <c r="AT78" s="29">
        <f t="shared" si="108"/>
        <v>2194400</v>
      </c>
      <c r="AU78" s="29">
        <f t="shared" si="109"/>
        <v>94186.623254048129</v>
      </c>
      <c r="AV78" s="30">
        <f t="shared" si="110"/>
        <v>4.2921355839431338E-2</v>
      </c>
      <c r="AW78" s="31">
        <f>ROUND(AE78,0)</f>
        <v>2117433</v>
      </c>
      <c r="AX78" s="31">
        <f t="shared" si="111"/>
        <v>2117433</v>
      </c>
      <c r="AY78" s="34" t="s">
        <v>186</v>
      </c>
    </row>
    <row r="79" spans="1:51" ht="102.6" customHeight="1" x14ac:dyDescent="0.3">
      <c r="A79" s="5">
        <v>72</v>
      </c>
      <c r="B79" s="79" t="s">
        <v>158</v>
      </c>
      <c r="C79" s="7" t="s">
        <v>240</v>
      </c>
      <c r="D79" s="5" t="s">
        <v>43</v>
      </c>
      <c r="E79" s="8">
        <v>6</v>
      </c>
      <c r="F79" s="9">
        <v>403410</v>
      </c>
      <c r="G79" s="14">
        <f t="shared" si="85"/>
        <v>2420460</v>
      </c>
      <c r="H79" s="9">
        <v>433200</v>
      </c>
      <c r="I79" s="14">
        <f t="shared" si="86"/>
        <v>2599200</v>
      </c>
      <c r="J79" s="9">
        <v>476000</v>
      </c>
      <c r="K79" s="14">
        <f t="shared" si="87"/>
        <v>2856000</v>
      </c>
      <c r="L79" s="9"/>
      <c r="M79" s="14">
        <f t="shared" si="88"/>
        <v>0</v>
      </c>
      <c r="N79" s="9"/>
      <c r="O79" s="14">
        <f t="shared" si="89"/>
        <v>0</v>
      </c>
      <c r="P79" s="9"/>
      <c r="Q79" s="14">
        <f t="shared" si="90"/>
        <v>0</v>
      </c>
      <c r="R79" s="9"/>
      <c r="S79" s="14">
        <f t="shared" si="91"/>
        <v>0</v>
      </c>
      <c r="T79" s="9"/>
      <c r="U79" s="14">
        <f t="shared" si="92"/>
        <v>0</v>
      </c>
      <c r="V79" s="9"/>
      <c r="W79" s="14">
        <f t="shared" si="93"/>
        <v>0</v>
      </c>
      <c r="X79" s="9"/>
      <c r="Y79" s="14">
        <f t="shared" si="94"/>
        <v>0</v>
      </c>
      <c r="Z79" s="9"/>
      <c r="AA79" s="14">
        <f t="shared" si="95"/>
        <v>0</v>
      </c>
      <c r="AB79" s="9"/>
      <c r="AC79" s="14">
        <f t="shared" si="96"/>
        <v>0</v>
      </c>
      <c r="AD79" s="31">
        <f t="shared" si="97"/>
        <v>433200</v>
      </c>
      <c r="AE79" s="31">
        <f t="shared" si="98"/>
        <v>437536.66666666669</v>
      </c>
      <c r="AF79" s="31">
        <f t="shared" si="99"/>
        <v>36488.793256743003</v>
      </c>
      <c r="AG79" s="32">
        <f t="shared" si="112"/>
        <v>8.3395966639160907E-2</v>
      </c>
      <c r="AH79" s="31">
        <f t="shared" si="113"/>
        <v>474025.45992340968</v>
      </c>
      <c r="AI79" s="31">
        <f t="shared" si="114"/>
        <v>401047.87340992369</v>
      </c>
      <c r="AJ79" s="13">
        <f t="shared" si="100"/>
        <v>403410</v>
      </c>
      <c r="AK79" s="13">
        <f t="shared" si="101"/>
        <v>433200</v>
      </c>
      <c r="AL79" s="13" t="str">
        <f t="shared" si="102"/>
        <v/>
      </c>
      <c r="AM79" s="13" t="str">
        <f t="shared" si="103"/>
        <v/>
      </c>
      <c r="AN79" s="13" t="str">
        <f t="shared" si="104"/>
        <v/>
      </c>
      <c r="AO79" s="13" t="str">
        <f t="shared" si="105"/>
        <v/>
      </c>
      <c r="AP79" s="13" t="str">
        <f t="shared" si="106"/>
        <v/>
      </c>
      <c r="AQ79" s="13"/>
      <c r="AR79" s="13"/>
      <c r="AS79" s="29">
        <f t="shared" si="107"/>
        <v>418305</v>
      </c>
      <c r="AT79" s="29">
        <f t="shared" si="108"/>
        <v>418305</v>
      </c>
      <c r="AU79" s="29">
        <f t="shared" si="109"/>
        <v>21064.71101154725</v>
      </c>
      <c r="AV79" s="30">
        <f t="shared" si="110"/>
        <v>5.0357301518144056E-2</v>
      </c>
      <c r="AW79" s="31">
        <f t="shared" ref="AW79:AW84" si="116">+ROUND(+IFERROR(AVERAGEIF(AJ79:AR79,"&lt;&gt;q"),"q"),0)</f>
        <v>418305</v>
      </c>
      <c r="AX79" s="31">
        <f t="shared" si="111"/>
        <v>2509830</v>
      </c>
      <c r="AY79" s="34" t="s">
        <v>187</v>
      </c>
    </row>
    <row r="80" spans="1:51" ht="88.2" customHeight="1" x14ac:dyDescent="0.3">
      <c r="A80" s="5">
        <v>73</v>
      </c>
      <c r="B80" s="79" t="s">
        <v>159</v>
      </c>
      <c r="C80" s="7" t="s">
        <v>241</v>
      </c>
      <c r="D80" s="5" t="s">
        <v>43</v>
      </c>
      <c r="E80" s="8">
        <v>3</v>
      </c>
      <c r="F80" s="9">
        <v>433200</v>
      </c>
      <c r="G80" s="10">
        <f t="shared" si="85"/>
        <v>1299600</v>
      </c>
      <c r="H80" s="9">
        <v>423760</v>
      </c>
      <c r="I80" s="10">
        <f t="shared" si="86"/>
        <v>1271280</v>
      </c>
      <c r="J80" s="9">
        <v>452200</v>
      </c>
      <c r="K80" s="10">
        <f t="shared" si="87"/>
        <v>1356600</v>
      </c>
      <c r="L80" s="9"/>
      <c r="M80" s="10">
        <f t="shared" si="88"/>
        <v>0</v>
      </c>
      <c r="N80" s="9"/>
      <c r="O80" s="10">
        <f t="shared" si="89"/>
        <v>0</v>
      </c>
      <c r="P80" s="9"/>
      <c r="Q80" s="10">
        <f t="shared" si="90"/>
        <v>0</v>
      </c>
      <c r="R80" s="9"/>
      <c r="S80" s="10">
        <f t="shared" si="91"/>
        <v>0</v>
      </c>
      <c r="T80" s="9"/>
      <c r="U80" s="10">
        <f t="shared" si="92"/>
        <v>0</v>
      </c>
      <c r="V80" s="9"/>
      <c r="W80" s="10">
        <f t="shared" si="93"/>
        <v>0</v>
      </c>
      <c r="X80" s="9"/>
      <c r="Y80" s="10">
        <f t="shared" si="94"/>
        <v>0</v>
      </c>
      <c r="Z80" s="9"/>
      <c r="AA80" s="10">
        <f t="shared" si="95"/>
        <v>0</v>
      </c>
      <c r="AB80" s="9"/>
      <c r="AC80" s="10">
        <f t="shared" si="96"/>
        <v>0</v>
      </c>
      <c r="AD80" s="31">
        <f t="shared" si="97"/>
        <v>433200</v>
      </c>
      <c r="AE80" s="31">
        <f t="shared" si="98"/>
        <v>436386.66666666669</v>
      </c>
      <c r="AF80" s="31">
        <f t="shared" si="99"/>
        <v>14485.321305836931</v>
      </c>
      <c r="AG80" s="32">
        <f t="shared" si="112"/>
        <v>3.3193776098804417E-2</v>
      </c>
      <c r="AH80" s="31">
        <f t="shared" si="113"/>
        <v>450871.98797250364</v>
      </c>
      <c r="AI80" s="31">
        <f t="shared" si="114"/>
        <v>421901.34536082973</v>
      </c>
      <c r="AJ80" s="13">
        <f t="shared" si="100"/>
        <v>433200</v>
      </c>
      <c r="AK80" s="13">
        <f t="shared" si="101"/>
        <v>423760</v>
      </c>
      <c r="AL80" s="13" t="str">
        <f t="shared" si="102"/>
        <v/>
      </c>
      <c r="AM80" s="13" t="str">
        <f t="shared" si="103"/>
        <v/>
      </c>
      <c r="AN80" s="13" t="str">
        <f t="shared" si="104"/>
        <v/>
      </c>
      <c r="AO80" s="13" t="str">
        <f t="shared" si="105"/>
        <v/>
      </c>
      <c r="AP80" s="13" t="str">
        <f t="shared" si="106"/>
        <v/>
      </c>
      <c r="AQ80" s="13"/>
      <c r="AR80" s="13"/>
      <c r="AS80" s="29">
        <f t="shared" si="107"/>
        <v>428480</v>
      </c>
      <c r="AT80" s="29">
        <f t="shared" si="108"/>
        <v>428480</v>
      </c>
      <c r="AU80" s="29">
        <f t="shared" si="109"/>
        <v>6675.0880144010089</v>
      </c>
      <c r="AV80" s="30">
        <f t="shared" si="110"/>
        <v>1.5578528786410122E-2</v>
      </c>
      <c r="AW80" s="31">
        <f t="shared" si="116"/>
        <v>428480</v>
      </c>
      <c r="AX80" s="31">
        <f t="shared" si="111"/>
        <v>1285440</v>
      </c>
      <c r="AY80" s="34" t="s">
        <v>187</v>
      </c>
    </row>
    <row r="81" spans="1:51" ht="100.2" customHeight="1" x14ac:dyDescent="0.3">
      <c r="A81" s="5">
        <v>74</v>
      </c>
      <c r="B81" s="6" t="s">
        <v>160</v>
      </c>
      <c r="C81" s="7" t="s">
        <v>206</v>
      </c>
      <c r="D81" s="5" t="s">
        <v>43</v>
      </c>
      <c r="E81" s="8">
        <f>400+480</f>
        <v>880</v>
      </c>
      <c r="F81" s="9">
        <v>1428</v>
      </c>
      <c r="G81" s="10">
        <f t="shared" si="85"/>
        <v>1256640</v>
      </c>
      <c r="H81" s="9">
        <v>1335</v>
      </c>
      <c r="I81" s="10">
        <f t="shared" si="86"/>
        <v>1174800</v>
      </c>
      <c r="J81" s="9">
        <v>1255</v>
      </c>
      <c r="K81" s="10">
        <f t="shared" si="87"/>
        <v>1104400</v>
      </c>
      <c r="L81" s="9"/>
      <c r="M81" s="10">
        <f t="shared" si="88"/>
        <v>0</v>
      </c>
      <c r="N81" s="9"/>
      <c r="O81" s="10">
        <f t="shared" si="89"/>
        <v>0</v>
      </c>
      <c r="P81" s="9"/>
      <c r="Q81" s="10">
        <f t="shared" si="90"/>
        <v>0</v>
      </c>
      <c r="R81" s="9"/>
      <c r="S81" s="10">
        <f t="shared" si="91"/>
        <v>0</v>
      </c>
      <c r="T81" s="9"/>
      <c r="U81" s="10">
        <f t="shared" si="92"/>
        <v>0</v>
      </c>
      <c r="V81" s="9"/>
      <c r="W81" s="10">
        <f t="shared" si="93"/>
        <v>0</v>
      </c>
      <c r="X81" s="9"/>
      <c r="Y81" s="10">
        <f t="shared" si="94"/>
        <v>0</v>
      </c>
      <c r="Z81" s="9"/>
      <c r="AA81" s="10">
        <f t="shared" si="95"/>
        <v>0</v>
      </c>
      <c r="AB81" s="9"/>
      <c r="AC81" s="10">
        <f t="shared" si="96"/>
        <v>0</v>
      </c>
      <c r="AD81" s="31">
        <f t="shared" si="97"/>
        <v>1335</v>
      </c>
      <c r="AE81" s="31">
        <f t="shared" si="98"/>
        <v>1339.3333333333333</v>
      </c>
      <c r="AF81" s="31">
        <f t="shared" si="99"/>
        <v>86.581368280556376</v>
      </c>
      <c r="AG81" s="32">
        <f t="shared" si="112"/>
        <v>6.4645123156214318E-2</v>
      </c>
      <c r="AH81" s="31">
        <f t="shared" si="113"/>
        <v>1425.9147016138895</v>
      </c>
      <c r="AI81" s="31">
        <f t="shared" si="114"/>
        <v>1252.751965052777</v>
      </c>
      <c r="AJ81" s="13" t="str">
        <f t="shared" si="100"/>
        <v/>
      </c>
      <c r="AK81" s="13">
        <f t="shared" si="101"/>
        <v>1335</v>
      </c>
      <c r="AL81" s="13">
        <f t="shared" si="102"/>
        <v>1255</v>
      </c>
      <c r="AM81" s="13" t="str">
        <f t="shared" si="103"/>
        <v/>
      </c>
      <c r="AN81" s="13" t="str">
        <f t="shared" si="104"/>
        <v/>
      </c>
      <c r="AO81" s="13" t="str">
        <f t="shared" si="105"/>
        <v/>
      </c>
      <c r="AP81" s="13" t="str">
        <f t="shared" si="106"/>
        <v/>
      </c>
      <c r="AQ81" s="13"/>
      <c r="AR81" s="13"/>
      <c r="AS81" s="29">
        <f t="shared" si="107"/>
        <v>1295</v>
      </c>
      <c r="AT81" s="29">
        <f t="shared" si="108"/>
        <v>1295</v>
      </c>
      <c r="AU81" s="29">
        <f t="shared" si="109"/>
        <v>56.568542494923804</v>
      </c>
      <c r="AV81" s="30">
        <f t="shared" si="110"/>
        <v>4.3682272196852355E-2</v>
      </c>
      <c r="AW81" s="31">
        <f t="shared" si="116"/>
        <v>1295</v>
      </c>
      <c r="AX81" s="31">
        <f t="shared" si="111"/>
        <v>1139600</v>
      </c>
      <c r="AY81" s="34" t="s">
        <v>187</v>
      </c>
    </row>
    <row r="82" spans="1:51" ht="79.5" customHeight="1" x14ac:dyDescent="0.3">
      <c r="A82" s="5">
        <v>75</v>
      </c>
      <c r="B82" s="6" t="s">
        <v>161</v>
      </c>
      <c r="C82" s="7" t="s">
        <v>214</v>
      </c>
      <c r="D82" s="5" t="s">
        <v>43</v>
      </c>
      <c r="E82" s="8">
        <f>20+30</f>
        <v>50</v>
      </c>
      <c r="F82" s="9">
        <v>2142</v>
      </c>
      <c r="G82" s="10">
        <f t="shared" si="85"/>
        <v>107100</v>
      </c>
      <c r="H82" s="9">
        <v>2380</v>
      </c>
      <c r="I82" s="10">
        <f t="shared" si="86"/>
        <v>119000</v>
      </c>
      <c r="J82" s="9">
        <v>2260</v>
      </c>
      <c r="K82" s="10">
        <f t="shared" si="87"/>
        <v>113000</v>
      </c>
      <c r="L82" s="9"/>
      <c r="M82" s="10">
        <f t="shared" si="88"/>
        <v>0</v>
      </c>
      <c r="N82" s="9"/>
      <c r="O82" s="10">
        <f t="shared" si="89"/>
        <v>0</v>
      </c>
      <c r="P82" s="9"/>
      <c r="Q82" s="10">
        <f t="shared" si="90"/>
        <v>0</v>
      </c>
      <c r="R82" s="9"/>
      <c r="S82" s="10">
        <f t="shared" si="91"/>
        <v>0</v>
      </c>
      <c r="T82" s="9"/>
      <c r="U82" s="10">
        <f t="shared" si="92"/>
        <v>0</v>
      </c>
      <c r="V82" s="9"/>
      <c r="W82" s="10">
        <f t="shared" si="93"/>
        <v>0</v>
      </c>
      <c r="X82" s="9"/>
      <c r="Y82" s="10">
        <f t="shared" si="94"/>
        <v>0</v>
      </c>
      <c r="Z82" s="9"/>
      <c r="AA82" s="10">
        <f t="shared" si="95"/>
        <v>0</v>
      </c>
      <c r="AB82" s="9"/>
      <c r="AC82" s="10">
        <f t="shared" si="96"/>
        <v>0</v>
      </c>
      <c r="AD82" s="31">
        <f t="shared" si="97"/>
        <v>2260</v>
      </c>
      <c r="AE82" s="31">
        <f t="shared" si="98"/>
        <v>2260.6666666666665</v>
      </c>
      <c r="AF82" s="31">
        <f t="shared" si="99"/>
        <v>119.0014005519823</v>
      </c>
      <c r="AG82" s="32">
        <f t="shared" si="112"/>
        <v>5.2639958958411517E-2</v>
      </c>
      <c r="AH82" s="31">
        <f t="shared" si="113"/>
        <v>2379.668067218649</v>
      </c>
      <c r="AI82" s="31">
        <f t="shared" si="114"/>
        <v>2141.6652661146841</v>
      </c>
      <c r="AJ82" s="13">
        <f t="shared" si="100"/>
        <v>2142</v>
      </c>
      <c r="AK82" s="13" t="str">
        <f t="shared" si="101"/>
        <v/>
      </c>
      <c r="AL82" s="13">
        <f t="shared" si="102"/>
        <v>2260</v>
      </c>
      <c r="AM82" s="13" t="str">
        <f t="shared" si="103"/>
        <v/>
      </c>
      <c r="AN82" s="13" t="str">
        <f t="shared" si="104"/>
        <v/>
      </c>
      <c r="AO82" s="13" t="str">
        <f t="shared" si="105"/>
        <v/>
      </c>
      <c r="AP82" s="13" t="str">
        <f t="shared" si="106"/>
        <v/>
      </c>
      <c r="AQ82" s="13"/>
      <c r="AR82" s="13"/>
      <c r="AS82" s="29">
        <f t="shared" si="107"/>
        <v>2201</v>
      </c>
      <c r="AT82" s="29">
        <f t="shared" si="108"/>
        <v>2201</v>
      </c>
      <c r="AU82" s="29">
        <f t="shared" si="109"/>
        <v>83.438600180012614</v>
      </c>
      <c r="AV82" s="30">
        <f t="shared" si="110"/>
        <v>3.790940489777947E-2</v>
      </c>
      <c r="AW82" s="31">
        <f t="shared" si="116"/>
        <v>2201</v>
      </c>
      <c r="AX82" s="31">
        <f t="shared" si="111"/>
        <v>110050</v>
      </c>
      <c r="AY82" s="34" t="s">
        <v>187</v>
      </c>
    </row>
    <row r="83" spans="1:51" ht="172.2" x14ac:dyDescent="0.3">
      <c r="A83" s="5">
        <v>76</v>
      </c>
      <c r="B83" s="6" t="s">
        <v>162</v>
      </c>
      <c r="C83" s="7" t="s">
        <v>163</v>
      </c>
      <c r="D83" s="5" t="s">
        <v>75</v>
      </c>
      <c r="E83" s="8">
        <v>8</v>
      </c>
      <c r="F83" s="9">
        <v>2951200</v>
      </c>
      <c r="G83" s="10">
        <f t="shared" si="85"/>
        <v>23609600</v>
      </c>
      <c r="H83" s="9">
        <v>2975000</v>
      </c>
      <c r="I83" s="10">
        <f t="shared" si="86"/>
        <v>23800000</v>
      </c>
      <c r="J83" s="9">
        <v>3213000</v>
      </c>
      <c r="K83" s="10">
        <f t="shared" si="87"/>
        <v>25704000</v>
      </c>
      <c r="L83" s="9"/>
      <c r="M83" s="10">
        <f t="shared" si="88"/>
        <v>0</v>
      </c>
      <c r="N83" s="9"/>
      <c r="O83" s="10">
        <f t="shared" si="89"/>
        <v>0</v>
      </c>
      <c r="P83" s="9"/>
      <c r="Q83" s="10">
        <f t="shared" si="90"/>
        <v>0</v>
      </c>
      <c r="R83" s="9"/>
      <c r="S83" s="10">
        <f t="shared" si="91"/>
        <v>0</v>
      </c>
      <c r="T83" s="9"/>
      <c r="U83" s="10">
        <f t="shared" si="92"/>
        <v>0</v>
      </c>
      <c r="V83" s="9"/>
      <c r="W83" s="10">
        <f t="shared" si="93"/>
        <v>0</v>
      </c>
      <c r="X83" s="9"/>
      <c r="Y83" s="10">
        <f t="shared" si="94"/>
        <v>0</v>
      </c>
      <c r="Z83" s="9"/>
      <c r="AA83" s="10">
        <f t="shared" si="95"/>
        <v>0</v>
      </c>
      <c r="AB83" s="9"/>
      <c r="AC83" s="10">
        <f t="shared" si="96"/>
        <v>0</v>
      </c>
      <c r="AD83" s="31">
        <f t="shared" si="97"/>
        <v>2975000</v>
      </c>
      <c r="AE83" s="31">
        <f t="shared" si="98"/>
        <v>3046400</v>
      </c>
      <c r="AF83" s="31">
        <f t="shared" si="99"/>
        <v>144769.74822109763</v>
      </c>
      <c r="AG83" s="32">
        <f t="shared" si="112"/>
        <v>4.7521582267954839E-2</v>
      </c>
      <c r="AH83" s="31">
        <f t="shared" si="113"/>
        <v>3191169.7482210975</v>
      </c>
      <c r="AI83" s="31">
        <f t="shared" si="114"/>
        <v>2901630.2517789025</v>
      </c>
      <c r="AJ83" s="13">
        <f t="shared" si="100"/>
        <v>2951200</v>
      </c>
      <c r="AK83" s="13">
        <f t="shared" si="101"/>
        <v>2975000</v>
      </c>
      <c r="AL83" s="13" t="str">
        <f t="shared" si="102"/>
        <v/>
      </c>
      <c r="AM83" s="13" t="str">
        <f t="shared" si="103"/>
        <v/>
      </c>
      <c r="AN83" s="13" t="str">
        <f t="shared" si="104"/>
        <v/>
      </c>
      <c r="AO83" s="13" t="str">
        <f t="shared" si="105"/>
        <v/>
      </c>
      <c r="AP83" s="13" t="str">
        <f t="shared" si="106"/>
        <v/>
      </c>
      <c r="AQ83" s="13"/>
      <c r="AR83" s="13"/>
      <c r="AS83" s="29">
        <f t="shared" si="107"/>
        <v>2963100</v>
      </c>
      <c r="AT83" s="29">
        <f t="shared" si="108"/>
        <v>2963100</v>
      </c>
      <c r="AU83" s="29">
        <f t="shared" si="109"/>
        <v>16829.141392239831</v>
      </c>
      <c r="AV83" s="30">
        <f t="shared" si="110"/>
        <v>5.6795725396509844E-3</v>
      </c>
      <c r="AW83" s="31">
        <f t="shared" si="116"/>
        <v>2963100</v>
      </c>
      <c r="AX83" s="31">
        <f t="shared" si="111"/>
        <v>23704800</v>
      </c>
      <c r="AY83" s="34" t="s">
        <v>187</v>
      </c>
    </row>
    <row r="84" spans="1:51" ht="93" customHeight="1" x14ac:dyDescent="0.3">
      <c r="A84" s="5">
        <v>77</v>
      </c>
      <c r="B84" s="6" t="s">
        <v>164</v>
      </c>
      <c r="C84" s="7" t="s">
        <v>165</v>
      </c>
      <c r="D84" s="5" t="s">
        <v>43</v>
      </c>
      <c r="E84" s="8">
        <v>8</v>
      </c>
      <c r="F84" s="9">
        <v>23205</v>
      </c>
      <c r="G84" s="14">
        <f t="shared" si="85"/>
        <v>185640</v>
      </c>
      <c r="H84" s="9">
        <v>23800</v>
      </c>
      <c r="I84" s="14">
        <f t="shared" si="86"/>
        <v>190400</v>
      </c>
      <c r="J84" s="9">
        <v>23332</v>
      </c>
      <c r="K84" s="14">
        <f t="shared" si="87"/>
        <v>186656</v>
      </c>
      <c r="L84" s="9"/>
      <c r="M84" s="14">
        <f t="shared" si="88"/>
        <v>0</v>
      </c>
      <c r="N84" s="9"/>
      <c r="O84" s="14">
        <f t="shared" si="89"/>
        <v>0</v>
      </c>
      <c r="P84" s="9"/>
      <c r="Q84" s="14">
        <f t="shared" si="90"/>
        <v>0</v>
      </c>
      <c r="R84" s="9"/>
      <c r="S84" s="14">
        <f t="shared" si="91"/>
        <v>0</v>
      </c>
      <c r="T84" s="9"/>
      <c r="U84" s="14">
        <f t="shared" si="92"/>
        <v>0</v>
      </c>
      <c r="V84" s="9"/>
      <c r="W84" s="14">
        <f t="shared" si="93"/>
        <v>0</v>
      </c>
      <c r="X84" s="9"/>
      <c r="Y84" s="14">
        <f t="shared" si="94"/>
        <v>0</v>
      </c>
      <c r="Z84" s="9"/>
      <c r="AA84" s="14">
        <f t="shared" si="95"/>
        <v>0</v>
      </c>
      <c r="AB84" s="9"/>
      <c r="AC84" s="14">
        <f t="shared" si="96"/>
        <v>0</v>
      </c>
      <c r="AD84" s="31">
        <f t="shared" si="97"/>
        <v>23332</v>
      </c>
      <c r="AE84" s="31">
        <f t="shared" si="98"/>
        <v>23445.666666666668</v>
      </c>
      <c r="AF84" s="31">
        <f t="shared" si="99"/>
        <v>313.36294186347772</v>
      </c>
      <c r="AG84" s="32">
        <f t="shared" si="112"/>
        <v>1.3365495053676344E-2</v>
      </c>
      <c r="AH84" s="31">
        <f t="shared" si="113"/>
        <v>23759.029608530145</v>
      </c>
      <c r="AI84" s="31">
        <f t="shared" si="114"/>
        <v>23132.303724803191</v>
      </c>
      <c r="AJ84" s="13">
        <f t="shared" si="100"/>
        <v>23205</v>
      </c>
      <c r="AK84" s="13" t="str">
        <f t="shared" si="101"/>
        <v/>
      </c>
      <c r="AL84" s="13">
        <f t="shared" si="102"/>
        <v>23332</v>
      </c>
      <c r="AM84" s="13" t="str">
        <f t="shared" si="103"/>
        <v/>
      </c>
      <c r="AN84" s="13" t="str">
        <f t="shared" si="104"/>
        <v/>
      </c>
      <c r="AO84" s="13" t="str">
        <f t="shared" si="105"/>
        <v/>
      </c>
      <c r="AP84" s="13" t="str">
        <f t="shared" si="106"/>
        <v/>
      </c>
      <c r="AQ84" s="13"/>
      <c r="AR84" s="13"/>
      <c r="AS84" s="29">
        <f t="shared" si="107"/>
        <v>23268.5</v>
      </c>
      <c r="AT84" s="29">
        <f t="shared" si="108"/>
        <v>23268.5</v>
      </c>
      <c r="AU84" s="29">
        <f t="shared" si="109"/>
        <v>89.802561210691536</v>
      </c>
      <c r="AV84" s="30">
        <f t="shared" si="110"/>
        <v>3.8594048267267568E-3</v>
      </c>
      <c r="AW84" s="31">
        <f t="shared" si="116"/>
        <v>23269</v>
      </c>
      <c r="AX84" s="31">
        <f t="shared" si="111"/>
        <v>186152</v>
      </c>
      <c r="AY84" s="34" t="s">
        <v>187</v>
      </c>
    </row>
    <row r="85" spans="1:51" ht="114" customHeight="1" x14ac:dyDescent="0.3">
      <c r="A85" s="5">
        <v>78</v>
      </c>
      <c r="B85" s="6" t="s">
        <v>166</v>
      </c>
      <c r="C85" s="7" t="s">
        <v>207</v>
      </c>
      <c r="D85" s="5" t="s">
        <v>43</v>
      </c>
      <c r="E85" s="8">
        <v>2000</v>
      </c>
      <c r="F85" s="9">
        <v>8330</v>
      </c>
      <c r="G85" s="10">
        <f t="shared" si="85"/>
        <v>16660000</v>
      </c>
      <c r="H85" s="9">
        <v>8925</v>
      </c>
      <c r="I85" s="10">
        <f t="shared" si="86"/>
        <v>17850000</v>
      </c>
      <c r="J85" s="9">
        <v>8635</v>
      </c>
      <c r="K85" s="10">
        <f t="shared" si="87"/>
        <v>17270000</v>
      </c>
      <c r="L85" s="9"/>
      <c r="M85" s="10">
        <f t="shared" si="88"/>
        <v>0</v>
      </c>
      <c r="N85" s="9"/>
      <c r="O85" s="10">
        <f t="shared" si="89"/>
        <v>0</v>
      </c>
      <c r="P85" s="9"/>
      <c r="Q85" s="10">
        <f t="shared" si="90"/>
        <v>0</v>
      </c>
      <c r="R85" s="9"/>
      <c r="S85" s="10">
        <f t="shared" si="91"/>
        <v>0</v>
      </c>
      <c r="T85" s="9"/>
      <c r="U85" s="10">
        <f t="shared" si="92"/>
        <v>0</v>
      </c>
      <c r="V85" s="9"/>
      <c r="W85" s="10">
        <f t="shared" si="93"/>
        <v>0</v>
      </c>
      <c r="X85" s="9"/>
      <c r="Y85" s="10">
        <f t="shared" si="94"/>
        <v>0</v>
      </c>
      <c r="Z85" s="9"/>
      <c r="AA85" s="10">
        <f t="shared" si="95"/>
        <v>0</v>
      </c>
      <c r="AB85" s="9"/>
      <c r="AC85" s="10">
        <f t="shared" si="96"/>
        <v>0</v>
      </c>
      <c r="AD85" s="31">
        <f t="shared" si="97"/>
        <v>8635</v>
      </c>
      <c r="AE85" s="31">
        <f t="shared" si="98"/>
        <v>8630</v>
      </c>
      <c r="AF85" s="31">
        <f t="shared" si="99"/>
        <v>297.53151093623683</v>
      </c>
      <c r="AG85" s="32">
        <f t="shared" si="112"/>
        <v>3.4476420734210526E-2</v>
      </c>
      <c r="AH85" s="31">
        <f t="shared" si="113"/>
        <v>8927.5315109362364</v>
      </c>
      <c r="AI85" s="31">
        <f t="shared" si="114"/>
        <v>8332.4684890637636</v>
      </c>
      <c r="AJ85" s="13" t="str">
        <f t="shared" si="100"/>
        <v/>
      </c>
      <c r="AK85" s="13">
        <f t="shared" si="101"/>
        <v>8925</v>
      </c>
      <c r="AL85" s="13">
        <f t="shared" si="102"/>
        <v>8635</v>
      </c>
      <c r="AM85" s="13" t="str">
        <f t="shared" si="103"/>
        <v/>
      </c>
      <c r="AN85" s="13" t="str">
        <f t="shared" si="104"/>
        <v/>
      </c>
      <c r="AO85" s="13" t="str">
        <f t="shared" si="105"/>
        <v/>
      </c>
      <c r="AP85" s="13" t="str">
        <f t="shared" si="106"/>
        <v/>
      </c>
      <c r="AQ85" s="13"/>
      <c r="AR85" s="13"/>
      <c r="AS85" s="29">
        <f t="shared" si="107"/>
        <v>8780</v>
      </c>
      <c r="AT85" s="29">
        <f t="shared" si="108"/>
        <v>8780</v>
      </c>
      <c r="AU85" s="29">
        <f t="shared" si="109"/>
        <v>205.06096654409879</v>
      </c>
      <c r="AV85" s="30">
        <f t="shared" si="110"/>
        <v>2.3355463159920136E-2</v>
      </c>
      <c r="AW85" s="31">
        <f t="shared" ref="AW85:AW90" si="117">ROUND(AE85,0)</f>
        <v>8630</v>
      </c>
      <c r="AX85" s="31">
        <f t="shared" si="111"/>
        <v>17260000</v>
      </c>
      <c r="AY85" s="34" t="s">
        <v>186</v>
      </c>
    </row>
    <row r="86" spans="1:51" s="37" customFormat="1" ht="114" customHeight="1" x14ac:dyDescent="0.3">
      <c r="A86" s="5">
        <v>79</v>
      </c>
      <c r="B86" s="41" t="s">
        <v>216</v>
      </c>
      <c r="C86" s="42" t="s">
        <v>217</v>
      </c>
      <c r="D86" s="5" t="s">
        <v>43</v>
      </c>
      <c r="E86" s="8">
        <v>1125</v>
      </c>
      <c r="F86" s="9">
        <v>654.5</v>
      </c>
      <c r="G86" s="10">
        <f t="shared" ref="G86" si="118">+$E86*F86</f>
        <v>736312.5</v>
      </c>
      <c r="H86" s="9">
        <v>595</v>
      </c>
      <c r="I86" s="10">
        <f t="shared" ref="I86" si="119">+$E86*H86</f>
        <v>669375</v>
      </c>
      <c r="J86" s="9">
        <v>635</v>
      </c>
      <c r="K86" s="10">
        <f t="shared" ref="K86" si="120">+$E86*J86</f>
        <v>714375</v>
      </c>
      <c r="L86" s="9"/>
      <c r="M86" s="10">
        <f t="shared" ref="M86" si="121">+$E86*L86</f>
        <v>0</v>
      </c>
      <c r="N86" s="9"/>
      <c r="O86" s="10">
        <f t="shared" ref="O86" si="122">+$E86*N86</f>
        <v>0</v>
      </c>
      <c r="P86" s="9"/>
      <c r="Q86" s="10">
        <f t="shared" ref="Q86" si="123">+$E86*P86</f>
        <v>0</v>
      </c>
      <c r="R86" s="9"/>
      <c r="S86" s="10">
        <f t="shared" ref="S86" si="124">+$E86*R86</f>
        <v>0</v>
      </c>
      <c r="T86" s="9"/>
      <c r="U86" s="10">
        <f t="shared" ref="U86" si="125">+$E86*T86</f>
        <v>0</v>
      </c>
      <c r="V86" s="9"/>
      <c r="W86" s="10">
        <f t="shared" ref="W86" si="126">+$E86*V86</f>
        <v>0</v>
      </c>
      <c r="X86" s="9"/>
      <c r="Y86" s="10">
        <f t="shared" ref="Y86" si="127">+$E86*X86</f>
        <v>0</v>
      </c>
      <c r="Z86" s="9"/>
      <c r="AA86" s="10">
        <f t="shared" ref="AA86" si="128">+$E86*Z86</f>
        <v>0</v>
      </c>
      <c r="AB86" s="9"/>
      <c r="AC86" s="10">
        <f t="shared" ref="AC86" si="129">+$E86*AB86</f>
        <v>0</v>
      </c>
      <c r="AD86" s="31">
        <f t="shared" si="97"/>
        <v>635</v>
      </c>
      <c r="AE86" s="31">
        <f t="shared" si="98"/>
        <v>628.16666666666663</v>
      </c>
      <c r="AF86" s="31">
        <f t="shared" si="99"/>
        <v>30.332875454419639</v>
      </c>
      <c r="AG86" s="32">
        <f t="shared" ref="AG86" si="130">IFERROR((AF86/AE86)*100%,"")</f>
        <v>4.8287941821840763E-2</v>
      </c>
      <c r="AH86" s="31">
        <f t="shared" ref="AH86" si="131">IFERROR(AE86+AF86,"")</f>
        <v>658.49954212108628</v>
      </c>
      <c r="AI86" s="31">
        <f t="shared" ref="AI86" si="132">IFERROR(AE86-AF86,"")</f>
        <v>597.83379121224698</v>
      </c>
      <c r="AJ86" s="13">
        <f t="shared" ref="AJ86" si="133">IF(AND(F86&lt;=$AH86,F86&gt;=$AI86),F86,"")</f>
        <v>654.5</v>
      </c>
      <c r="AK86" s="13" t="str">
        <f t="shared" ref="AK86" si="134">IF(AND(H86&lt;=$AH86,H86&gt;=$AI86),H86,"")</f>
        <v/>
      </c>
      <c r="AL86" s="13">
        <f t="shared" ref="AL86" si="135">IF(AND(J86&lt;=$AH86,J86&gt;=$AI86),J86,"")</f>
        <v>635</v>
      </c>
      <c r="AM86" s="13" t="str">
        <f t="shared" ref="AM86" si="136">IF(AND(L86&lt;=$AH86,L86&gt;=$AI86),L86,"")</f>
        <v/>
      </c>
      <c r="AN86" s="13" t="str">
        <f t="shared" ref="AN86" si="137">IF(AND(N86&lt;=$AH86,N86&gt;=$AI86),N86,"")</f>
        <v/>
      </c>
      <c r="AO86" s="13" t="str">
        <f t="shared" ref="AO86" si="138">IF(AND(P86&lt;=$AH86,P86&gt;=$AI86),P86,"")</f>
        <v/>
      </c>
      <c r="AP86" s="13" t="str">
        <f t="shared" ref="AP86" si="139">IF(AND(R86&lt;=$AH86,R86&gt;=$AI86),R86,"")</f>
        <v/>
      </c>
      <c r="AQ86" s="13"/>
      <c r="AR86" s="13"/>
      <c r="AS86" s="29">
        <f t="shared" si="107"/>
        <v>644.75</v>
      </c>
      <c r="AT86" s="29">
        <f t="shared" si="108"/>
        <v>644.75</v>
      </c>
      <c r="AU86" s="29">
        <f t="shared" si="109"/>
        <v>13.788582233137676</v>
      </c>
      <c r="AV86" s="30">
        <f t="shared" si="110"/>
        <v>2.1385935995560566E-2</v>
      </c>
      <c r="AW86" s="31">
        <f t="shared" ref="AW86" si="140">ROUND(AE86,0)</f>
        <v>628</v>
      </c>
      <c r="AX86" s="31">
        <f t="shared" ref="AX86" si="141">AW86*E86</f>
        <v>706500</v>
      </c>
      <c r="AY86" s="34" t="s">
        <v>186</v>
      </c>
    </row>
    <row r="87" spans="1:51" ht="99.75" customHeight="1" x14ac:dyDescent="0.3">
      <c r="A87" s="5">
        <v>80</v>
      </c>
      <c r="B87" s="6" t="s">
        <v>213</v>
      </c>
      <c r="C87" s="7" t="s">
        <v>167</v>
      </c>
      <c r="D87" s="5" t="s">
        <v>43</v>
      </c>
      <c r="E87" s="8">
        <v>2</v>
      </c>
      <c r="F87" s="9">
        <v>211800</v>
      </c>
      <c r="G87" s="14">
        <f t="shared" si="85"/>
        <v>423600</v>
      </c>
      <c r="H87" s="9">
        <v>232050</v>
      </c>
      <c r="I87" s="14">
        <f t="shared" si="86"/>
        <v>464100</v>
      </c>
      <c r="J87" s="9">
        <v>241400</v>
      </c>
      <c r="K87" s="14">
        <f t="shared" si="87"/>
        <v>482800</v>
      </c>
      <c r="L87" s="9"/>
      <c r="M87" s="14">
        <f t="shared" si="88"/>
        <v>0</v>
      </c>
      <c r="N87" s="9"/>
      <c r="O87" s="14">
        <f t="shared" si="89"/>
        <v>0</v>
      </c>
      <c r="P87" s="9"/>
      <c r="Q87" s="14">
        <f t="shared" si="90"/>
        <v>0</v>
      </c>
      <c r="R87" s="9"/>
      <c r="S87" s="14">
        <f t="shared" si="91"/>
        <v>0</v>
      </c>
      <c r="T87" s="9"/>
      <c r="U87" s="14">
        <f t="shared" si="92"/>
        <v>0</v>
      </c>
      <c r="V87" s="9"/>
      <c r="W87" s="14">
        <f t="shared" si="93"/>
        <v>0</v>
      </c>
      <c r="X87" s="9"/>
      <c r="Y87" s="14">
        <f t="shared" si="94"/>
        <v>0</v>
      </c>
      <c r="Z87" s="9"/>
      <c r="AA87" s="14">
        <f t="shared" si="95"/>
        <v>0</v>
      </c>
      <c r="AB87" s="9"/>
      <c r="AC87" s="14">
        <f t="shared" si="96"/>
        <v>0</v>
      </c>
      <c r="AD87" s="31">
        <f t="shared" si="97"/>
        <v>232050</v>
      </c>
      <c r="AE87" s="31">
        <f t="shared" si="98"/>
        <v>228416.66666666666</v>
      </c>
      <c r="AF87" s="31">
        <f t="shared" si="99"/>
        <v>15130.790902439083</v>
      </c>
      <c r="AG87" s="32">
        <f t="shared" si="112"/>
        <v>6.6242061594041959E-2</v>
      </c>
      <c r="AH87" s="31">
        <f t="shared" si="113"/>
        <v>243547.45756910573</v>
      </c>
      <c r="AI87" s="31">
        <f t="shared" si="114"/>
        <v>213285.87576422759</v>
      </c>
      <c r="AJ87" s="13" t="str">
        <f t="shared" si="100"/>
        <v/>
      </c>
      <c r="AK87" s="13">
        <f t="shared" si="101"/>
        <v>232050</v>
      </c>
      <c r="AL87" s="13">
        <f t="shared" si="102"/>
        <v>241400</v>
      </c>
      <c r="AM87" s="13" t="str">
        <f t="shared" si="103"/>
        <v/>
      </c>
      <c r="AN87" s="13" t="str">
        <f t="shared" si="104"/>
        <v/>
      </c>
      <c r="AO87" s="13" t="str">
        <f t="shared" si="105"/>
        <v/>
      </c>
      <c r="AP87" s="13" t="str">
        <f t="shared" si="106"/>
        <v/>
      </c>
      <c r="AQ87" s="13"/>
      <c r="AR87" s="13"/>
      <c r="AS87" s="29">
        <f t="shared" si="107"/>
        <v>236725</v>
      </c>
      <c r="AT87" s="29">
        <f t="shared" si="108"/>
        <v>236725</v>
      </c>
      <c r="AU87" s="29">
        <f t="shared" si="109"/>
        <v>6611.4484040942198</v>
      </c>
      <c r="AV87" s="30">
        <f t="shared" si="110"/>
        <v>2.7928813619576384E-2</v>
      </c>
      <c r="AW87" s="31">
        <f t="shared" si="117"/>
        <v>228417</v>
      </c>
      <c r="AX87" s="31">
        <f t="shared" si="111"/>
        <v>456834</v>
      </c>
      <c r="AY87" s="34" t="s">
        <v>186</v>
      </c>
    </row>
    <row r="88" spans="1:51" ht="99.75" customHeight="1" x14ac:dyDescent="0.3">
      <c r="A88" s="5">
        <v>81</v>
      </c>
      <c r="B88" s="6" t="s">
        <v>168</v>
      </c>
      <c r="C88" s="7" t="s">
        <v>169</v>
      </c>
      <c r="D88" s="5" t="s">
        <v>43</v>
      </c>
      <c r="E88" s="8">
        <v>200</v>
      </c>
      <c r="F88" s="9">
        <v>6545</v>
      </c>
      <c r="G88" s="14">
        <f t="shared" si="85"/>
        <v>1309000</v>
      </c>
      <c r="H88" s="9">
        <v>7140</v>
      </c>
      <c r="I88" s="14">
        <f t="shared" si="86"/>
        <v>1428000</v>
      </c>
      <c r="J88" s="9">
        <v>6880</v>
      </c>
      <c r="K88" s="14">
        <f t="shared" si="87"/>
        <v>1376000</v>
      </c>
      <c r="L88" s="9"/>
      <c r="M88" s="14">
        <f t="shared" si="88"/>
        <v>0</v>
      </c>
      <c r="N88" s="9"/>
      <c r="O88" s="14">
        <f t="shared" si="89"/>
        <v>0</v>
      </c>
      <c r="P88" s="9"/>
      <c r="Q88" s="14">
        <f t="shared" si="90"/>
        <v>0</v>
      </c>
      <c r="R88" s="9"/>
      <c r="S88" s="14">
        <f t="shared" si="91"/>
        <v>0</v>
      </c>
      <c r="T88" s="9"/>
      <c r="U88" s="14">
        <f t="shared" si="92"/>
        <v>0</v>
      </c>
      <c r="V88" s="9"/>
      <c r="W88" s="14">
        <f t="shared" si="93"/>
        <v>0</v>
      </c>
      <c r="X88" s="9"/>
      <c r="Y88" s="14">
        <f t="shared" si="94"/>
        <v>0</v>
      </c>
      <c r="Z88" s="9"/>
      <c r="AA88" s="14">
        <f t="shared" si="95"/>
        <v>0</v>
      </c>
      <c r="AB88" s="9"/>
      <c r="AC88" s="14">
        <f t="shared" si="96"/>
        <v>0</v>
      </c>
      <c r="AD88" s="31">
        <f t="shared" si="97"/>
        <v>6880</v>
      </c>
      <c r="AE88" s="31">
        <f t="shared" si="98"/>
        <v>6855</v>
      </c>
      <c r="AF88" s="31">
        <f t="shared" si="99"/>
        <v>298.28677476549308</v>
      </c>
      <c r="AG88" s="32">
        <f t="shared" si="112"/>
        <v>4.3513752701020141E-2</v>
      </c>
      <c r="AH88" s="31">
        <f t="shared" si="113"/>
        <v>7153.2867747654927</v>
      </c>
      <c r="AI88" s="31">
        <f t="shared" si="114"/>
        <v>6556.7132252345073</v>
      </c>
      <c r="AJ88" s="13" t="str">
        <f t="shared" si="100"/>
        <v/>
      </c>
      <c r="AK88" s="13">
        <f t="shared" si="101"/>
        <v>7140</v>
      </c>
      <c r="AL88" s="13">
        <f t="shared" si="102"/>
        <v>6880</v>
      </c>
      <c r="AM88" s="13" t="str">
        <f t="shared" si="103"/>
        <v/>
      </c>
      <c r="AN88" s="13" t="str">
        <f t="shared" si="104"/>
        <v/>
      </c>
      <c r="AO88" s="13" t="str">
        <f t="shared" si="105"/>
        <v/>
      </c>
      <c r="AP88" s="13" t="str">
        <f t="shared" si="106"/>
        <v/>
      </c>
      <c r="AQ88" s="13"/>
      <c r="AR88" s="13"/>
      <c r="AS88" s="29">
        <f t="shared" si="107"/>
        <v>7010</v>
      </c>
      <c r="AT88" s="29">
        <f t="shared" si="108"/>
        <v>7010</v>
      </c>
      <c r="AU88" s="29">
        <f t="shared" si="109"/>
        <v>183.84776310850236</v>
      </c>
      <c r="AV88" s="30">
        <f t="shared" si="110"/>
        <v>2.6226499730171521E-2</v>
      </c>
      <c r="AW88" s="31">
        <f t="shared" si="117"/>
        <v>6855</v>
      </c>
      <c r="AX88" s="31">
        <f t="shared" si="111"/>
        <v>1371000</v>
      </c>
      <c r="AY88" s="34" t="s">
        <v>186</v>
      </c>
    </row>
    <row r="89" spans="1:51" ht="145.80000000000001" x14ac:dyDescent="0.3">
      <c r="A89" s="5">
        <v>82</v>
      </c>
      <c r="B89" s="6" t="s">
        <v>170</v>
      </c>
      <c r="C89" s="7" t="s">
        <v>208</v>
      </c>
      <c r="D89" s="5" t="s">
        <v>43</v>
      </c>
      <c r="E89" s="8">
        <v>2001</v>
      </c>
      <c r="F89" s="9">
        <v>4224.5</v>
      </c>
      <c r="G89" s="10">
        <f t="shared" si="85"/>
        <v>8453224.5</v>
      </c>
      <c r="H89" s="9">
        <v>3707.03</v>
      </c>
      <c r="I89" s="10">
        <f t="shared" si="86"/>
        <v>7417767.0300000003</v>
      </c>
      <c r="J89" s="9">
        <v>3980</v>
      </c>
      <c r="K89" s="10">
        <f t="shared" si="87"/>
        <v>7963980</v>
      </c>
      <c r="L89" s="9"/>
      <c r="M89" s="10">
        <f t="shared" si="88"/>
        <v>0</v>
      </c>
      <c r="N89" s="9"/>
      <c r="O89" s="10">
        <f t="shared" si="89"/>
        <v>0</v>
      </c>
      <c r="P89" s="9"/>
      <c r="Q89" s="10">
        <f t="shared" si="90"/>
        <v>0</v>
      </c>
      <c r="R89" s="9"/>
      <c r="S89" s="10">
        <f t="shared" si="91"/>
        <v>0</v>
      </c>
      <c r="T89" s="9"/>
      <c r="U89" s="10">
        <f t="shared" si="92"/>
        <v>0</v>
      </c>
      <c r="V89" s="9"/>
      <c r="W89" s="10">
        <f t="shared" si="93"/>
        <v>0</v>
      </c>
      <c r="X89" s="9"/>
      <c r="Y89" s="10">
        <f t="shared" si="94"/>
        <v>0</v>
      </c>
      <c r="Z89" s="9"/>
      <c r="AA89" s="10">
        <f t="shared" si="95"/>
        <v>0</v>
      </c>
      <c r="AB89" s="9"/>
      <c r="AC89" s="10">
        <f t="shared" si="96"/>
        <v>0</v>
      </c>
      <c r="AD89" s="31">
        <f t="shared" si="97"/>
        <v>3980</v>
      </c>
      <c r="AE89" s="31">
        <f t="shared" si="98"/>
        <v>3970.51</v>
      </c>
      <c r="AF89" s="31">
        <f t="shared" si="99"/>
        <v>258.86549654212314</v>
      </c>
      <c r="AG89" s="32">
        <f t="shared" si="112"/>
        <v>6.5197039307827748E-2</v>
      </c>
      <c r="AH89" s="31">
        <f t="shared" si="113"/>
        <v>4229.3754965421231</v>
      </c>
      <c r="AI89" s="31">
        <f t="shared" si="114"/>
        <v>3711.6445034578769</v>
      </c>
      <c r="AJ89" s="13">
        <f t="shared" si="100"/>
        <v>4224.5</v>
      </c>
      <c r="AK89" s="13" t="str">
        <f t="shared" si="101"/>
        <v/>
      </c>
      <c r="AL89" s="13">
        <f t="shared" si="102"/>
        <v>3980</v>
      </c>
      <c r="AM89" s="13" t="str">
        <f t="shared" si="103"/>
        <v/>
      </c>
      <c r="AN89" s="13" t="str">
        <f t="shared" si="104"/>
        <v/>
      </c>
      <c r="AO89" s="13" t="str">
        <f t="shared" si="105"/>
        <v/>
      </c>
      <c r="AP89" s="13" t="str">
        <f t="shared" si="106"/>
        <v/>
      </c>
      <c r="AQ89" s="13"/>
      <c r="AR89" s="13"/>
      <c r="AS89" s="29">
        <f t="shared" si="107"/>
        <v>4102.25</v>
      </c>
      <c r="AT89" s="29">
        <f t="shared" si="108"/>
        <v>4102.25</v>
      </c>
      <c r="AU89" s="29">
        <f t="shared" si="109"/>
        <v>172.88760800011087</v>
      </c>
      <c r="AV89" s="30">
        <f t="shared" si="110"/>
        <v>4.2144581144520903E-2</v>
      </c>
      <c r="AW89" s="31">
        <f t="shared" si="117"/>
        <v>3971</v>
      </c>
      <c r="AX89" s="31">
        <f t="shared" si="111"/>
        <v>7945971</v>
      </c>
      <c r="AY89" s="34" t="s">
        <v>186</v>
      </c>
    </row>
    <row r="90" spans="1:51" ht="109.95" customHeight="1" x14ac:dyDescent="0.3">
      <c r="A90" s="5">
        <v>83</v>
      </c>
      <c r="B90" s="6" t="s">
        <v>211</v>
      </c>
      <c r="C90" s="7" t="s">
        <v>171</v>
      </c>
      <c r="D90" s="5" t="s">
        <v>89</v>
      </c>
      <c r="E90" s="8">
        <v>2</v>
      </c>
      <c r="F90" s="9">
        <v>3332000</v>
      </c>
      <c r="G90" s="14">
        <f t="shared" si="85"/>
        <v>6664000</v>
      </c>
      <c r="H90" s="9">
        <v>3570000</v>
      </c>
      <c r="I90" s="14">
        <f t="shared" si="86"/>
        <v>7140000</v>
      </c>
      <c r="J90" s="9">
        <v>3472000</v>
      </c>
      <c r="K90" s="14">
        <f t="shared" si="87"/>
        <v>6944000</v>
      </c>
      <c r="L90" s="9"/>
      <c r="M90" s="14">
        <f t="shared" si="88"/>
        <v>0</v>
      </c>
      <c r="N90" s="9"/>
      <c r="O90" s="14">
        <f t="shared" si="89"/>
        <v>0</v>
      </c>
      <c r="P90" s="9"/>
      <c r="Q90" s="14">
        <f t="shared" si="90"/>
        <v>0</v>
      </c>
      <c r="R90" s="9"/>
      <c r="S90" s="14">
        <f t="shared" si="91"/>
        <v>0</v>
      </c>
      <c r="T90" s="9"/>
      <c r="U90" s="14">
        <f t="shared" si="92"/>
        <v>0</v>
      </c>
      <c r="V90" s="9"/>
      <c r="W90" s="14">
        <f t="shared" si="93"/>
        <v>0</v>
      </c>
      <c r="X90" s="9"/>
      <c r="Y90" s="14">
        <f t="shared" si="94"/>
        <v>0</v>
      </c>
      <c r="Z90" s="9"/>
      <c r="AA90" s="14">
        <f t="shared" si="95"/>
        <v>0</v>
      </c>
      <c r="AB90" s="9"/>
      <c r="AC90" s="14">
        <f t="shared" si="96"/>
        <v>0</v>
      </c>
      <c r="AD90" s="31">
        <f t="shared" si="97"/>
        <v>3472000</v>
      </c>
      <c r="AE90" s="31">
        <f t="shared" si="98"/>
        <v>3458000</v>
      </c>
      <c r="AF90" s="31">
        <f t="shared" si="99"/>
        <v>119616.05243444543</v>
      </c>
      <c r="AG90" s="32">
        <f t="shared" si="112"/>
        <v>3.4591108280637779E-2</v>
      </c>
      <c r="AH90" s="31">
        <f t="shared" si="113"/>
        <v>3577616.0524344454</v>
      </c>
      <c r="AI90" s="31">
        <f t="shared" si="114"/>
        <v>3338383.9475655546</v>
      </c>
      <c r="AJ90" s="13" t="str">
        <f t="shared" si="100"/>
        <v/>
      </c>
      <c r="AK90" s="13">
        <f t="shared" si="101"/>
        <v>3570000</v>
      </c>
      <c r="AL90" s="13">
        <f t="shared" si="102"/>
        <v>3472000</v>
      </c>
      <c r="AM90" s="13" t="str">
        <f t="shared" si="103"/>
        <v/>
      </c>
      <c r="AN90" s="13" t="str">
        <f t="shared" si="104"/>
        <v/>
      </c>
      <c r="AO90" s="13" t="str">
        <f t="shared" si="105"/>
        <v/>
      </c>
      <c r="AP90" s="13" t="str">
        <f t="shared" si="106"/>
        <v/>
      </c>
      <c r="AQ90" s="13"/>
      <c r="AR90" s="13"/>
      <c r="AS90" s="29">
        <f t="shared" si="107"/>
        <v>3521000</v>
      </c>
      <c r="AT90" s="29">
        <f t="shared" si="108"/>
        <v>3521000</v>
      </c>
      <c r="AU90" s="29">
        <f t="shared" si="109"/>
        <v>69296.464556281659</v>
      </c>
      <c r="AV90" s="30">
        <f t="shared" si="110"/>
        <v>1.9680904446544068E-2</v>
      </c>
      <c r="AW90" s="31">
        <f t="shared" si="117"/>
        <v>3458000</v>
      </c>
      <c r="AX90" s="31">
        <f t="shared" si="111"/>
        <v>6916000</v>
      </c>
      <c r="AY90" s="34" t="s">
        <v>186</v>
      </c>
    </row>
    <row r="91" spans="1:51" s="20" customFormat="1" ht="130.5" customHeight="1" x14ac:dyDescent="0.25">
      <c r="A91" s="5">
        <v>84</v>
      </c>
      <c r="B91" s="17" t="s">
        <v>172</v>
      </c>
      <c r="C91" s="18" t="s">
        <v>209</v>
      </c>
      <c r="D91" s="19" t="s">
        <v>173</v>
      </c>
      <c r="E91" s="8">
        <v>1</v>
      </c>
      <c r="F91" s="9">
        <v>4284000</v>
      </c>
      <c r="G91" s="10">
        <f t="shared" si="85"/>
        <v>4284000</v>
      </c>
      <c r="H91" s="9">
        <v>4403000</v>
      </c>
      <c r="I91" s="10">
        <f t="shared" si="86"/>
        <v>4403000</v>
      </c>
      <c r="J91" s="9">
        <v>4760000</v>
      </c>
      <c r="K91" s="10">
        <f t="shared" si="87"/>
        <v>4760000</v>
      </c>
      <c r="L91" s="9"/>
      <c r="M91" s="10">
        <f t="shared" si="88"/>
        <v>0</v>
      </c>
      <c r="N91" s="9"/>
      <c r="O91" s="10">
        <f t="shared" si="89"/>
        <v>0</v>
      </c>
      <c r="P91" s="9"/>
      <c r="Q91" s="10">
        <f t="shared" si="90"/>
        <v>0</v>
      </c>
      <c r="R91" s="9"/>
      <c r="S91" s="10">
        <f t="shared" si="91"/>
        <v>0</v>
      </c>
      <c r="T91" s="9"/>
      <c r="U91" s="10">
        <f t="shared" si="92"/>
        <v>0</v>
      </c>
      <c r="V91" s="9"/>
      <c r="W91" s="10">
        <f t="shared" si="93"/>
        <v>0</v>
      </c>
      <c r="X91" s="9"/>
      <c r="Y91" s="10">
        <f t="shared" si="94"/>
        <v>0</v>
      </c>
      <c r="Z91" s="9"/>
      <c r="AA91" s="10">
        <f t="shared" si="95"/>
        <v>0</v>
      </c>
      <c r="AB91" s="9"/>
      <c r="AC91" s="10">
        <f t="shared" si="96"/>
        <v>0</v>
      </c>
      <c r="AD91" s="31">
        <f t="shared" si="97"/>
        <v>4403000</v>
      </c>
      <c r="AE91" s="31">
        <f t="shared" si="98"/>
        <v>4482333.333333333</v>
      </c>
      <c r="AF91" s="31">
        <f t="shared" si="99"/>
        <v>247718.25393646979</v>
      </c>
      <c r="AG91" s="32">
        <f t="shared" si="112"/>
        <v>5.526546901237521E-2</v>
      </c>
      <c r="AH91" s="31">
        <f t="shared" si="113"/>
        <v>4730051.5872698026</v>
      </c>
      <c r="AI91" s="31">
        <f t="shared" si="114"/>
        <v>4234615.0793968635</v>
      </c>
      <c r="AJ91" s="13">
        <f t="shared" si="100"/>
        <v>4284000</v>
      </c>
      <c r="AK91" s="13">
        <f t="shared" si="101"/>
        <v>4403000</v>
      </c>
      <c r="AL91" s="13" t="str">
        <f t="shared" si="102"/>
        <v/>
      </c>
      <c r="AM91" s="13" t="str">
        <f t="shared" si="103"/>
        <v/>
      </c>
      <c r="AN91" s="13" t="str">
        <f t="shared" si="104"/>
        <v/>
      </c>
      <c r="AO91" s="13" t="str">
        <f t="shared" si="105"/>
        <v/>
      </c>
      <c r="AP91" s="13" t="str">
        <f t="shared" si="106"/>
        <v/>
      </c>
      <c r="AQ91" s="13"/>
      <c r="AR91" s="13"/>
      <c r="AS91" s="29">
        <f t="shared" si="107"/>
        <v>4343500</v>
      </c>
      <c r="AT91" s="29">
        <f t="shared" si="108"/>
        <v>4343500</v>
      </c>
      <c r="AU91" s="29">
        <f t="shared" si="109"/>
        <v>84145.706961199161</v>
      </c>
      <c r="AV91" s="30">
        <f t="shared" si="110"/>
        <v>1.9372788525658838E-2</v>
      </c>
      <c r="AW91" s="31">
        <f>+ROUND(+IFERROR(AVERAGEIF(AJ91:AR91,"&lt;&gt;q"),"q"),0)</f>
        <v>4343500</v>
      </c>
      <c r="AX91" s="31">
        <f t="shared" si="111"/>
        <v>4343500</v>
      </c>
      <c r="AY91" s="34" t="s">
        <v>187</v>
      </c>
    </row>
    <row r="92" spans="1:51" ht="102.6" x14ac:dyDescent="0.3">
      <c r="A92" s="5">
        <v>85</v>
      </c>
      <c r="B92" s="35" t="s">
        <v>174</v>
      </c>
      <c r="C92" s="7" t="s">
        <v>175</v>
      </c>
      <c r="D92" s="5" t="s">
        <v>176</v>
      </c>
      <c r="E92" s="8">
        <v>8</v>
      </c>
      <c r="F92" s="9"/>
      <c r="G92" s="14">
        <f t="shared" si="85"/>
        <v>0</v>
      </c>
      <c r="H92" s="9"/>
      <c r="I92" s="14">
        <f t="shared" si="86"/>
        <v>0</v>
      </c>
      <c r="J92" s="9"/>
      <c r="K92" s="14">
        <f t="shared" si="87"/>
        <v>0</v>
      </c>
      <c r="L92" s="9"/>
      <c r="M92" s="14">
        <f t="shared" si="88"/>
        <v>0</v>
      </c>
      <c r="N92" s="9">
        <v>3658201</v>
      </c>
      <c r="O92" s="14">
        <f t="shared" si="89"/>
        <v>29265608</v>
      </c>
      <c r="P92" s="9"/>
      <c r="Q92" s="14">
        <f t="shared" si="90"/>
        <v>0</v>
      </c>
      <c r="R92" s="9"/>
      <c r="S92" s="14">
        <f t="shared" si="91"/>
        <v>0</v>
      </c>
      <c r="T92" s="9"/>
      <c r="U92" s="14">
        <f t="shared" si="92"/>
        <v>0</v>
      </c>
      <c r="V92" s="9"/>
      <c r="W92" s="14">
        <f t="shared" si="93"/>
        <v>0</v>
      </c>
      <c r="X92" s="9"/>
      <c r="Y92" s="14">
        <f t="shared" si="94"/>
        <v>0</v>
      </c>
      <c r="Z92" s="9"/>
      <c r="AA92" s="14">
        <f t="shared" si="95"/>
        <v>0</v>
      </c>
      <c r="AB92" s="9"/>
      <c r="AC92" s="14">
        <f t="shared" si="96"/>
        <v>0</v>
      </c>
      <c r="AD92" s="31">
        <f t="shared" si="97"/>
        <v>3658201</v>
      </c>
      <c r="AE92" s="31">
        <f t="shared" si="98"/>
        <v>3658201</v>
      </c>
      <c r="AF92" s="31" t="str">
        <f t="shared" si="99"/>
        <v/>
      </c>
      <c r="AG92" s="32" t="str">
        <f t="shared" si="112"/>
        <v/>
      </c>
      <c r="AH92" s="31" t="str">
        <f t="shared" si="113"/>
        <v/>
      </c>
      <c r="AI92" s="31" t="str">
        <f t="shared" si="114"/>
        <v/>
      </c>
      <c r="AJ92" s="13">
        <f t="shared" si="100"/>
        <v>0</v>
      </c>
      <c r="AK92" s="13">
        <f t="shared" si="101"/>
        <v>0</v>
      </c>
      <c r="AL92" s="13">
        <f t="shared" si="102"/>
        <v>0</v>
      </c>
      <c r="AM92" s="13">
        <f t="shared" si="103"/>
        <v>0</v>
      </c>
      <c r="AN92" s="13" t="str">
        <f t="shared" si="104"/>
        <v/>
      </c>
      <c r="AO92" s="13">
        <f t="shared" si="105"/>
        <v>0</v>
      </c>
      <c r="AP92" s="13">
        <f t="shared" si="106"/>
        <v>0</v>
      </c>
      <c r="AQ92" s="13"/>
      <c r="AR92" s="13"/>
      <c r="AS92" s="29">
        <f t="shared" si="107"/>
        <v>0</v>
      </c>
      <c r="AT92" s="29">
        <f t="shared" si="108"/>
        <v>0</v>
      </c>
      <c r="AU92" s="29">
        <f t="shared" si="109"/>
        <v>0</v>
      </c>
      <c r="AV92" s="30" t="str">
        <f t="shared" si="110"/>
        <v/>
      </c>
      <c r="AW92" s="31">
        <f t="shared" ref="AW92:AW95" si="142">ROUND(AE92,0)</f>
        <v>3658201</v>
      </c>
      <c r="AX92" s="31">
        <f t="shared" si="111"/>
        <v>29265608</v>
      </c>
      <c r="AY92" s="33" t="s">
        <v>185</v>
      </c>
    </row>
    <row r="93" spans="1:51" ht="114" x14ac:dyDescent="0.3">
      <c r="A93" s="5">
        <v>86</v>
      </c>
      <c r="B93" s="35" t="s">
        <v>177</v>
      </c>
      <c r="C93" s="7" t="s">
        <v>178</v>
      </c>
      <c r="D93" s="5" t="s">
        <v>176</v>
      </c>
      <c r="E93" s="8">
        <v>8</v>
      </c>
      <c r="F93" s="9"/>
      <c r="G93" s="10">
        <f t="shared" si="85"/>
        <v>0</v>
      </c>
      <c r="H93" s="9"/>
      <c r="I93" s="10">
        <f t="shared" si="86"/>
        <v>0</v>
      </c>
      <c r="J93" s="9"/>
      <c r="K93" s="10">
        <f t="shared" si="87"/>
        <v>0</v>
      </c>
      <c r="L93" s="9"/>
      <c r="M93" s="10">
        <f t="shared" si="88"/>
        <v>0</v>
      </c>
      <c r="N93" s="9">
        <v>5889001</v>
      </c>
      <c r="O93" s="10">
        <f t="shared" si="89"/>
        <v>47112008</v>
      </c>
      <c r="P93" s="9"/>
      <c r="Q93" s="10">
        <f t="shared" si="90"/>
        <v>0</v>
      </c>
      <c r="R93" s="9"/>
      <c r="S93" s="10">
        <f t="shared" si="91"/>
        <v>0</v>
      </c>
      <c r="T93" s="9"/>
      <c r="U93" s="10">
        <f t="shared" si="92"/>
        <v>0</v>
      </c>
      <c r="V93" s="9"/>
      <c r="W93" s="10">
        <f t="shared" si="93"/>
        <v>0</v>
      </c>
      <c r="X93" s="9"/>
      <c r="Y93" s="10">
        <f t="shared" si="94"/>
        <v>0</v>
      </c>
      <c r="Z93" s="9"/>
      <c r="AA93" s="10">
        <f t="shared" si="95"/>
        <v>0</v>
      </c>
      <c r="AB93" s="9"/>
      <c r="AC93" s="10">
        <f t="shared" si="96"/>
        <v>0</v>
      </c>
      <c r="AD93" s="31">
        <f t="shared" si="97"/>
        <v>5889001</v>
      </c>
      <c r="AE93" s="31">
        <f t="shared" si="98"/>
        <v>5889001</v>
      </c>
      <c r="AF93" s="31" t="str">
        <f t="shared" si="99"/>
        <v/>
      </c>
      <c r="AG93" s="32" t="str">
        <f t="shared" si="112"/>
        <v/>
      </c>
      <c r="AH93" s="31" t="str">
        <f t="shared" si="113"/>
        <v/>
      </c>
      <c r="AI93" s="31" t="str">
        <f t="shared" si="114"/>
        <v/>
      </c>
      <c r="AJ93" s="13">
        <f t="shared" si="100"/>
        <v>0</v>
      </c>
      <c r="AK93" s="13">
        <f t="shared" si="101"/>
        <v>0</v>
      </c>
      <c r="AL93" s="13">
        <f t="shared" si="102"/>
        <v>0</v>
      </c>
      <c r="AM93" s="13">
        <f t="shared" si="103"/>
        <v>0</v>
      </c>
      <c r="AN93" s="13" t="str">
        <f t="shared" si="104"/>
        <v/>
      </c>
      <c r="AO93" s="13">
        <f t="shared" si="105"/>
        <v>0</v>
      </c>
      <c r="AP93" s="13">
        <f t="shared" si="106"/>
        <v>0</v>
      </c>
      <c r="AQ93" s="13"/>
      <c r="AR93" s="13"/>
      <c r="AS93" s="29">
        <f t="shared" si="107"/>
        <v>0</v>
      </c>
      <c r="AT93" s="29">
        <f t="shared" si="108"/>
        <v>0</v>
      </c>
      <c r="AU93" s="29">
        <f t="shared" si="109"/>
        <v>0</v>
      </c>
      <c r="AV93" s="30" t="str">
        <f t="shared" si="110"/>
        <v/>
      </c>
      <c r="AW93" s="31">
        <f t="shared" si="142"/>
        <v>5889001</v>
      </c>
      <c r="AX93" s="31">
        <f t="shared" si="111"/>
        <v>47112008</v>
      </c>
      <c r="AY93" s="33" t="s">
        <v>185</v>
      </c>
    </row>
    <row r="94" spans="1:51" ht="159.6" x14ac:dyDescent="0.3">
      <c r="A94" s="5">
        <v>87</v>
      </c>
      <c r="B94" s="35" t="s">
        <v>179</v>
      </c>
      <c r="C94" s="7" t="s">
        <v>218</v>
      </c>
      <c r="D94" s="5" t="s">
        <v>66</v>
      </c>
      <c r="E94" s="44">
        <f>220+56</f>
        <v>276</v>
      </c>
      <c r="F94" s="9"/>
      <c r="G94" s="14">
        <f t="shared" si="85"/>
        <v>0</v>
      </c>
      <c r="H94" s="9"/>
      <c r="I94" s="14">
        <f t="shared" si="86"/>
        <v>0</v>
      </c>
      <c r="J94" s="9"/>
      <c r="K94" s="14">
        <f t="shared" si="87"/>
        <v>0</v>
      </c>
      <c r="L94" s="9"/>
      <c r="M94" s="14">
        <f t="shared" si="88"/>
        <v>0</v>
      </c>
      <c r="N94" s="9">
        <v>24538</v>
      </c>
      <c r="O94" s="14">
        <f t="shared" si="89"/>
        <v>6772488</v>
      </c>
      <c r="P94" s="9"/>
      <c r="Q94" s="14">
        <f t="shared" si="90"/>
        <v>0</v>
      </c>
      <c r="R94" s="9"/>
      <c r="S94" s="14">
        <f t="shared" si="91"/>
        <v>0</v>
      </c>
      <c r="T94" s="9"/>
      <c r="U94" s="14">
        <f t="shared" si="92"/>
        <v>0</v>
      </c>
      <c r="V94" s="9"/>
      <c r="W94" s="14">
        <f t="shared" si="93"/>
        <v>0</v>
      </c>
      <c r="X94" s="9"/>
      <c r="Y94" s="14">
        <f t="shared" si="94"/>
        <v>0</v>
      </c>
      <c r="Z94" s="9"/>
      <c r="AA94" s="14">
        <f t="shared" si="95"/>
        <v>0</v>
      </c>
      <c r="AB94" s="9"/>
      <c r="AC94" s="14">
        <f t="shared" si="96"/>
        <v>0</v>
      </c>
      <c r="AD94" s="31">
        <f t="shared" si="97"/>
        <v>24538</v>
      </c>
      <c r="AE94" s="31">
        <f t="shared" si="98"/>
        <v>24538</v>
      </c>
      <c r="AF94" s="31" t="str">
        <f t="shared" si="99"/>
        <v/>
      </c>
      <c r="AG94" s="32" t="str">
        <f t="shared" si="112"/>
        <v/>
      </c>
      <c r="AH94" s="31" t="str">
        <f t="shared" si="113"/>
        <v/>
      </c>
      <c r="AI94" s="31" t="str">
        <f t="shared" si="114"/>
        <v/>
      </c>
      <c r="AJ94" s="13">
        <f t="shared" si="100"/>
        <v>0</v>
      </c>
      <c r="AK94" s="13">
        <f t="shared" si="101"/>
        <v>0</v>
      </c>
      <c r="AL94" s="13">
        <f t="shared" si="102"/>
        <v>0</v>
      </c>
      <c r="AM94" s="13">
        <f t="shared" si="103"/>
        <v>0</v>
      </c>
      <c r="AN94" s="13" t="str">
        <f t="shared" si="104"/>
        <v/>
      </c>
      <c r="AO94" s="13">
        <f t="shared" si="105"/>
        <v>0</v>
      </c>
      <c r="AP94" s="13">
        <f t="shared" si="106"/>
        <v>0</v>
      </c>
      <c r="AQ94" s="13"/>
      <c r="AR94" s="13"/>
      <c r="AS94" s="29">
        <f t="shared" si="107"/>
        <v>0</v>
      </c>
      <c r="AT94" s="29">
        <f t="shared" si="108"/>
        <v>0</v>
      </c>
      <c r="AU94" s="29">
        <f t="shared" si="109"/>
        <v>0</v>
      </c>
      <c r="AV94" s="30" t="str">
        <f t="shared" si="110"/>
        <v/>
      </c>
      <c r="AW94" s="31">
        <f t="shared" si="142"/>
        <v>24538</v>
      </c>
      <c r="AX94" s="31">
        <f t="shared" si="111"/>
        <v>6772488</v>
      </c>
      <c r="AY94" s="33" t="s">
        <v>185</v>
      </c>
    </row>
    <row r="95" spans="1:51" ht="102.6" x14ac:dyDescent="0.3">
      <c r="A95" s="5">
        <v>88</v>
      </c>
      <c r="B95" s="35" t="s">
        <v>180</v>
      </c>
      <c r="C95" s="7" t="s">
        <v>181</v>
      </c>
      <c r="D95" s="5" t="s">
        <v>176</v>
      </c>
      <c r="E95" s="8">
        <v>8</v>
      </c>
      <c r="F95" s="9"/>
      <c r="G95" s="10">
        <f t="shared" si="85"/>
        <v>0</v>
      </c>
      <c r="H95" s="9"/>
      <c r="I95" s="10">
        <f t="shared" si="86"/>
        <v>0</v>
      </c>
      <c r="J95" s="9"/>
      <c r="K95" s="10">
        <f t="shared" si="87"/>
        <v>0</v>
      </c>
      <c r="L95" s="9"/>
      <c r="M95" s="10">
        <f t="shared" si="88"/>
        <v>0</v>
      </c>
      <c r="N95" s="9">
        <v>8035001</v>
      </c>
      <c r="O95" s="10">
        <f t="shared" si="89"/>
        <v>64280008</v>
      </c>
      <c r="P95" s="9"/>
      <c r="Q95" s="10">
        <f t="shared" si="90"/>
        <v>0</v>
      </c>
      <c r="R95" s="9"/>
      <c r="S95" s="10">
        <f t="shared" si="91"/>
        <v>0</v>
      </c>
      <c r="T95" s="9"/>
      <c r="U95" s="10">
        <f t="shared" si="92"/>
        <v>0</v>
      </c>
      <c r="V95" s="9"/>
      <c r="W95" s="10">
        <f t="shared" si="93"/>
        <v>0</v>
      </c>
      <c r="X95" s="9"/>
      <c r="Y95" s="10">
        <f t="shared" si="94"/>
        <v>0</v>
      </c>
      <c r="Z95" s="9"/>
      <c r="AA95" s="10">
        <f t="shared" si="95"/>
        <v>0</v>
      </c>
      <c r="AB95" s="9"/>
      <c r="AC95" s="10">
        <f t="shared" si="96"/>
        <v>0</v>
      </c>
      <c r="AD95" s="31">
        <f t="shared" si="97"/>
        <v>8035001</v>
      </c>
      <c r="AE95" s="31">
        <f t="shared" si="98"/>
        <v>8035001</v>
      </c>
      <c r="AF95" s="31" t="str">
        <f t="shared" si="99"/>
        <v/>
      </c>
      <c r="AG95" s="32" t="str">
        <f t="shared" si="112"/>
        <v/>
      </c>
      <c r="AH95" s="31" t="str">
        <f t="shared" si="113"/>
        <v/>
      </c>
      <c r="AI95" s="31" t="str">
        <f t="shared" si="114"/>
        <v/>
      </c>
      <c r="AJ95" s="13">
        <f t="shared" si="100"/>
        <v>0</v>
      </c>
      <c r="AK95" s="13">
        <f t="shared" si="101"/>
        <v>0</v>
      </c>
      <c r="AL95" s="13">
        <f t="shared" si="102"/>
        <v>0</v>
      </c>
      <c r="AM95" s="13">
        <f t="shared" si="103"/>
        <v>0</v>
      </c>
      <c r="AN95" s="13" t="str">
        <f t="shared" si="104"/>
        <v/>
      </c>
      <c r="AO95" s="13">
        <f t="shared" si="105"/>
        <v>0</v>
      </c>
      <c r="AP95" s="13">
        <f t="shared" si="106"/>
        <v>0</v>
      </c>
      <c r="AQ95" s="13"/>
      <c r="AR95" s="13"/>
      <c r="AS95" s="29">
        <f t="shared" si="107"/>
        <v>0</v>
      </c>
      <c r="AT95" s="29">
        <f t="shared" si="108"/>
        <v>0</v>
      </c>
      <c r="AU95" s="29">
        <f t="shared" si="109"/>
        <v>0</v>
      </c>
      <c r="AV95" s="30" t="str">
        <f t="shared" si="110"/>
        <v/>
      </c>
      <c r="AW95" s="31">
        <f t="shared" si="142"/>
        <v>8035001</v>
      </c>
      <c r="AX95" s="31">
        <f t="shared" si="111"/>
        <v>64280008</v>
      </c>
      <c r="AY95" s="33" t="s">
        <v>185</v>
      </c>
    </row>
    <row r="96" spans="1:51" ht="15" x14ac:dyDescent="0.3">
      <c r="A96" s="21" t="s">
        <v>182</v>
      </c>
      <c r="B96" s="22"/>
      <c r="C96" s="22"/>
      <c r="D96" s="23"/>
      <c r="E96" s="21"/>
      <c r="F96" s="24">
        <f>SUM(F8:F95)</f>
        <v>35907300</v>
      </c>
      <c r="G96" s="25">
        <f>SUMIF(A8:A90,"&gt;0",G8:G90)</f>
        <v>188842757</v>
      </c>
      <c r="H96" s="25">
        <f>SUM(H8:H95)</f>
        <v>38715481.030000001</v>
      </c>
      <c r="I96" s="25">
        <f>SUM(I8:I95)</f>
        <v>215240522.03</v>
      </c>
      <c r="J96" s="25">
        <f t="shared" ref="J96:V96" si="143">SUM(J8:J95)</f>
        <v>38097853.600000001</v>
      </c>
      <c r="K96" s="25">
        <f t="shared" si="143"/>
        <v>201269663</v>
      </c>
      <c r="L96" s="25">
        <f t="shared" si="143"/>
        <v>369009</v>
      </c>
      <c r="M96" s="25">
        <f t="shared" si="143"/>
        <v>34912418</v>
      </c>
      <c r="N96" s="25">
        <f t="shared" si="143"/>
        <v>17884799</v>
      </c>
      <c r="O96" s="25">
        <f t="shared" si="143"/>
        <v>177151946</v>
      </c>
      <c r="P96" s="25">
        <f t="shared" si="143"/>
        <v>1890000</v>
      </c>
      <c r="Q96" s="25">
        <f t="shared" si="143"/>
        <v>11340000</v>
      </c>
      <c r="R96" s="25">
        <f t="shared" si="143"/>
        <v>1499400</v>
      </c>
      <c r="S96" s="25">
        <f t="shared" si="143"/>
        <v>8996400</v>
      </c>
      <c r="T96" s="25">
        <f t="shared" si="143"/>
        <v>32249</v>
      </c>
      <c r="U96" s="25">
        <f>SUMIF(A8:A90,"&gt;0",U8:U90)</f>
        <v>1128715</v>
      </c>
      <c r="V96" s="25">
        <f t="shared" si="143"/>
        <v>31243.449999999997</v>
      </c>
      <c r="W96" s="25">
        <f>SUMIF(A8:A90,"&gt;0",W8:W90)</f>
        <v>1093520.75</v>
      </c>
      <c r="X96" s="25"/>
      <c r="Y96" s="25">
        <f>SUMIF(A8:A90,"&gt;0",Y8:Y90)</f>
        <v>0</v>
      </c>
      <c r="Z96" s="25"/>
      <c r="AA96" s="25">
        <f>SUMIF(A8:A90,"&gt;0",AA8:AA90)</f>
        <v>0</v>
      </c>
      <c r="AB96" s="25"/>
      <c r="AC96" s="25">
        <f>SUMIF(A8:A90,"&gt;0",AC8:AC90)</f>
        <v>0</v>
      </c>
      <c r="AD96" s="26"/>
      <c r="AE96" s="26"/>
      <c r="AF96" s="26"/>
      <c r="AG96" s="26"/>
      <c r="AH96" s="26"/>
      <c r="AI96" s="26"/>
      <c r="AJ96" s="26"/>
      <c r="AK96" s="26"/>
      <c r="AL96" s="26"/>
      <c r="AM96" s="26"/>
      <c r="AN96" s="26"/>
      <c r="AO96" s="26"/>
      <c r="AP96" s="26"/>
      <c r="AQ96" s="26"/>
      <c r="AR96" s="26"/>
      <c r="AS96" s="26"/>
      <c r="AT96" s="26"/>
      <c r="AU96" s="26"/>
      <c r="AV96" s="26"/>
      <c r="AW96" s="27">
        <f>SUM(AW8:AW95)</f>
        <v>55819401</v>
      </c>
      <c r="AX96" s="28">
        <f>+SUM(AX8:AX95)</f>
        <v>416899807</v>
      </c>
    </row>
  </sheetData>
  <autoFilter ref="A7:AY7"/>
  <mergeCells count="60">
    <mergeCell ref="AH4:AH7"/>
    <mergeCell ref="AI4:AI7"/>
    <mergeCell ref="L5:M6"/>
    <mergeCell ref="AY4:AY7"/>
    <mergeCell ref="AS4:AS7"/>
    <mergeCell ref="AT4:AT7"/>
    <mergeCell ref="AU4:AU7"/>
    <mergeCell ref="AD4:AD7"/>
    <mergeCell ref="AE4:AE7"/>
    <mergeCell ref="AF4:AF7"/>
    <mergeCell ref="AG4:AG7"/>
    <mergeCell ref="V6:W6"/>
    <mergeCell ref="X6:Y6"/>
    <mergeCell ref="Z6:AA6"/>
    <mergeCell ref="AB6:AC6"/>
    <mergeCell ref="X5:Y5"/>
    <mergeCell ref="AB5:AC5"/>
    <mergeCell ref="F6:G6"/>
    <mergeCell ref="H6:I6"/>
    <mergeCell ref="J6:K6"/>
    <mergeCell ref="N5:O6"/>
    <mergeCell ref="P5:Q5"/>
    <mergeCell ref="R5:S5"/>
    <mergeCell ref="T5:U5"/>
    <mergeCell ref="V5:W5"/>
    <mergeCell ref="P6:Q6"/>
    <mergeCell ref="R6:S6"/>
    <mergeCell ref="T6:U6"/>
    <mergeCell ref="AW4:AW7"/>
    <mergeCell ref="AX4:AX7"/>
    <mergeCell ref="F5:G5"/>
    <mergeCell ref="H5:I5"/>
    <mergeCell ref="J5:K5"/>
    <mergeCell ref="AN4:AN7"/>
    <mergeCell ref="AO4:AO7"/>
    <mergeCell ref="AV4:AV7"/>
    <mergeCell ref="AJ4:AJ7"/>
    <mergeCell ref="AK4:AK7"/>
    <mergeCell ref="AL4:AL7"/>
    <mergeCell ref="AM4:AM7"/>
    <mergeCell ref="Z4:AA4"/>
    <mergeCell ref="AB4:AC4"/>
    <mergeCell ref="N4:O4"/>
    <mergeCell ref="Z5:AA5"/>
    <mergeCell ref="AQ4:AQ7"/>
    <mergeCell ref="AR4:AR7"/>
    <mergeCell ref="J4:K4"/>
    <mergeCell ref="L4:M4"/>
    <mergeCell ref="A1:G1"/>
    <mergeCell ref="A2:G2"/>
    <mergeCell ref="A3:G3"/>
    <mergeCell ref="A4:E6"/>
    <mergeCell ref="F4:G4"/>
    <mergeCell ref="H4:I4"/>
    <mergeCell ref="P4:Q4"/>
    <mergeCell ref="R4:S4"/>
    <mergeCell ref="T4:U4"/>
    <mergeCell ref="V4:W4"/>
    <mergeCell ref="X4:Y4"/>
    <mergeCell ref="AP4:AP7"/>
  </mergeCells>
  <phoneticPr fontId="14" type="noConversion"/>
  <pageMargins left="0.75" right="0.75" top="1" bottom="1" header="0.511811023622047" footer="0.511811023622047"/>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AJUSTADO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OMAR AUGUSTO MUÑOZ REYES</dc:creator>
  <cp:lastModifiedBy>Liliana Gaitan</cp:lastModifiedBy>
  <dcterms:created xsi:type="dcterms:W3CDTF">2026-09-01T02:09:54Z</dcterms:created>
  <dcterms:modified xsi:type="dcterms:W3CDTF">2026-09-18T20:45:13Z</dcterms:modified>
</cp:coreProperties>
</file>